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none" defaultThemeVersion="124226"/>
  <mc:AlternateContent xmlns:mc="http://schemas.openxmlformats.org/markup-compatibility/2006">
    <mc:Choice Requires="x15">
      <x15ac:absPath xmlns:x15ac="http://schemas.microsoft.com/office/spreadsheetml/2010/11/ac" url="Z:\JAVNA NAROČILA IN NMV\2025\MOSTOVA IN PREPUST VIZORE\"/>
    </mc:Choice>
  </mc:AlternateContent>
  <bookViews>
    <workbookView xWindow="0" yWindow="0" windowWidth="19620" windowHeight="9570" activeTab="3"/>
  </bookViews>
  <sheets>
    <sheet name="naslovnica" sheetId="17" r:id="rId1"/>
    <sheet name="A.PREPUST VIZORE" sheetId="21" r:id="rId2"/>
    <sheet name="B.PREPUST_HOMEC" sheetId="20" r:id="rId3"/>
    <sheet name="C. PREPUST_LANDEK" sheetId="18" r:id="rId4"/>
  </sheets>
  <definedNames>
    <definedName name="_xlnm.Print_Area" localSheetId="1">'A.PREPUST VIZORE'!$A$1:$F$72</definedName>
    <definedName name="_xlnm.Print_Area" localSheetId="2">B.PREPUST_HOMEC!$A$1:$F$56</definedName>
    <definedName name="_xlnm.Print_Area" localSheetId="3">'C. PREPUST_LANDEK'!$A$1:$F$56</definedName>
    <definedName name="Print_Area" localSheetId="2">B.PREPUST_HOMEC!$A$1:$F$56</definedName>
    <definedName name="Print_Area" localSheetId="3">'C. PREPUST_LANDEK'!$A$1:$F$56</definedName>
    <definedName name="Print_Titles" localSheetId="2">B.PREPUST_HOMEC!$110:$110</definedName>
    <definedName name="Print_Titles" localSheetId="3">'C. PREPUST_LANDEK'!$110:$110</definedName>
    <definedName name="_xlnm.Print_Titles" localSheetId="1">'A.PREPUST VIZORE'!$149:$149</definedName>
    <definedName name="vert" localSheetId="1">'A.PREPUST VIZORE'!$A$1:$F$72</definedName>
  </definedNames>
  <calcPr calcId="162913"/>
</workbook>
</file>

<file path=xl/calcChain.xml><?xml version="1.0" encoding="utf-8"?>
<calcChain xmlns="http://schemas.openxmlformats.org/spreadsheetml/2006/main">
  <c r="F70" i="21" l="1"/>
  <c r="F69" i="21"/>
  <c r="F68" i="21"/>
  <c r="D66" i="21"/>
  <c r="F66" i="21" s="1"/>
  <c r="D65" i="21"/>
  <c r="F65" i="21" s="1"/>
  <c r="F64" i="21"/>
  <c r="D63" i="21"/>
  <c r="F63" i="21" s="1"/>
  <c r="D62" i="21"/>
  <c r="F62" i="21" s="1"/>
  <c r="F60" i="21"/>
  <c r="F59" i="21"/>
  <c r="F58" i="21"/>
  <c r="D56" i="21"/>
  <c r="F56" i="21" s="1"/>
  <c r="D55" i="21"/>
  <c r="F55" i="21" s="1"/>
  <c r="D54" i="21"/>
  <c r="F54" i="21" s="1"/>
  <c r="D53" i="21"/>
  <c r="F53" i="21" s="1"/>
  <c r="D52" i="21"/>
  <c r="F52" i="21" s="1"/>
  <c r="F51" i="21"/>
  <c r="D51" i="21"/>
  <c r="D50" i="21"/>
  <c r="F50" i="21" s="1"/>
  <c r="D48" i="21"/>
  <c r="F48" i="21" s="1"/>
  <c r="F46" i="21"/>
  <c r="D46" i="21"/>
  <c r="D47" i="21" s="1"/>
  <c r="F47" i="21" s="1"/>
  <c r="F45" i="21"/>
  <c r="F44" i="21"/>
  <c r="F43" i="21"/>
  <c r="F42" i="21"/>
  <c r="D42" i="21"/>
  <c r="F41" i="21"/>
  <c r="F40" i="21"/>
  <c r="D40" i="21"/>
  <c r="D39" i="21"/>
  <c r="F39" i="21" s="1"/>
  <c r="D38" i="21"/>
  <c r="F38" i="21" s="1"/>
  <c r="F37" i="21"/>
  <c r="D37" i="21"/>
  <c r="D36" i="21"/>
  <c r="F36" i="21" s="1"/>
  <c r="F35" i="21"/>
  <c r="D35" i="21"/>
  <c r="D34" i="21"/>
  <c r="F34" i="21" s="1"/>
  <c r="D31" i="21"/>
  <c r="F31" i="21" s="1"/>
  <c r="F30" i="21"/>
  <c r="D30" i="21"/>
  <c r="D28" i="21"/>
  <c r="F28" i="21" s="1"/>
  <c r="D27" i="21"/>
  <c r="F27" i="21" s="1"/>
  <c r="D26" i="21"/>
  <c r="F26" i="21" s="1"/>
  <c r="D25" i="21"/>
  <c r="F25" i="21" s="1"/>
  <c r="D20" i="21"/>
  <c r="F20" i="21" s="1"/>
  <c r="D19" i="21"/>
  <c r="F19" i="21" s="1"/>
  <c r="F18" i="21"/>
  <c r="F17" i="21"/>
  <c r="F16" i="21"/>
  <c r="F15" i="21"/>
  <c r="F14" i="21"/>
  <c r="F13" i="21"/>
  <c r="F12" i="21"/>
  <c r="F54" i="20"/>
  <c r="F53" i="20"/>
  <c r="D51" i="20"/>
  <c r="F51" i="20" s="1"/>
  <c r="F50" i="20"/>
  <c r="F49" i="20"/>
  <c r="D48" i="20"/>
  <c r="F48" i="20" s="1"/>
  <c r="D47" i="20"/>
  <c r="F47" i="20" s="1"/>
  <c r="D46" i="20"/>
  <c r="F46" i="20" s="1"/>
  <c r="D44" i="20"/>
  <c r="F44" i="20" s="1"/>
  <c r="D43" i="20"/>
  <c r="F43" i="20" s="1"/>
  <c r="D42" i="20"/>
  <c r="F42" i="20" s="1"/>
  <c r="F41" i="20"/>
  <c r="D41" i="20"/>
  <c r="F40" i="20"/>
  <c r="D40" i="20"/>
  <c r="D39" i="20"/>
  <c r="F39" i="20" s="1"/>
  <c r="D37" i="20"/>
  <c r="F37" i="20" s="1"/>
  <c r="D36" i="20"/>
  <c r="F36" i="20" s="1"/>
  <c r="D35" i="20"/>
  <c r="F35" i="20" s="1"/>
  <c r="D34" i="20"/>
  <c r="F34" i="20" s="1"/>
  <c r="D33" i="20"/>
  <c r="F33" i="20" s="1"/>
  <c r="F32" i="20"/>
  <c r="D31" i="20"/>
  <c r="F31" i="20" s="1"/>
  <c r="D30" i="20"/>
  <c r="F30" i="20" s="1"/>
  <c r="D29" i="20"/>
  <c r="F29" i="20" s="1"/>
  <c r="F28" i="20"/>
  <c r="D28" i="20"/>
  <c r="D26" i="20"/>
  <c r="F26" i="20" s="1"/>
  <c r="D24" i="20"/>
  <c r="F24" i="20" s="1"/>
  <c r="D23" i="20"/>
  <c r="F23" i="20" s="1"/>
  <c r="D22" i="20"/>
  <c r="F22" i="20" s="1"/>
  <c r="D21" i="20"/>
  <c r="F21" i="20" s="1"/>
  <c r="F20" i="20"/>
  <c r="F18" i="20"/>
  <c r="F17" i="20"/>
  <c r="F16" i="20"/>
  <c r="F15" i="20"/>
  <c r="F14" i="20"/>
  <c r="F13" i="20"/>
  <c r="F12" i="20"/>
  <c r="F45" i="20" l="1"/>
  <c r="F11" i="20"/>
  <c r="D29" i="21"/>
  <c r="F29" i="21" s="1"/>
  <c r="E71" i="21" s="1"/>
  <c r="F71" i="21" s="1"/>
  <c r="F72" i="21" s="1"/>
  <c r="F22" i="17" s="1"/>
  <c r="F38" i="20"/>
  <c r="F27" i="20"/>
  <c r="D25" i="20"/>
  <c r="F25" i="20" s="1"/>
  <c r="F19" i="20" s="1"/>
  <c r="E55" i="20" l="1"/>
  <c r="F55" i="20" s="1"/>
  <c r="F52" i="20" s="1"/>
  <c r="F56" i="20" s="1"/>
  <c r="F23" i="17" s="1"/>
  <c r="A20" i="17" l="1"/>
  <c r="D41" i="18"/>
  <c r="D40" i="18"/>
  <c r="D39" i="18"/>
  <c r="D29" i="18"/>
  <c r="D28" i="18"/>
  <c r="D30" i="18"/>
  <c r="D31" i="18"/>
  <c r="D37" i="18"/>
  <c r="D36" i="18"/>
  <c r="D35" i="18"/>
  <c r="D33" i="18"/>
  <c r="D46" i="18"/>
  <c r="D47" i="18"/>
  <c r="D48" i="18"/>
  <c r="D51" i="18"/>
  <c r="D44" i="18"/>
  <c r="D43" i="18"/>
  <c r="D26" i="18"/>
  <c r="D24" i="18" l="1"/>
  <c r="D23" i="18"/>
  <c r="D21" i="18"/>
  <c r="F47" i="18"/>
  <c r="F48" i="18"/>
  <c r="F49" i="18"/>
  <c r="F50" i="18"/>
  <c r="F51" i="18"/>
  <c r="F37" i="18" l="1"/>
  <c r="D34" i="18" l="1"/>
  <c r="F54" i="18"/>
  <c r="D42" i="18"/>
  <c r="F42" i="18" s="1"/>
  <c r="F44" i="18"/>
  <c r="F43" i="18"/>
  <c r="F40" i="18"/>
  <c r="F39" i="18"/>
  <c r="F41" i="18" l="1"/>
  <c r="F38" i="18" s="1"/>
  <c r="D22" i="18" l="1"/>
  <c r="F18" i="18"/>
  <c r="F17" i="18"/>
  <c r="F16" i="18"/>
  <c r="F14" i="18"/>
  <c r="F13" i="18"/>
  <c r="F24" i="18" l="1"/>
  <c r="F23" i="18"/>
  <c r="F22" i="18"/>
  <c r="F53" i="18"/>
  <c r="F46" i="18"/>
  <c r="F36" i="18"/>
  <c r="F35" i="18"/>
  <c r="F34" i="18"/>
  <c r="F33" i="18"/>
  <c r="F32" i="18"/>
  <c r="F31" i="18"/>
  <c r="F30" i="18"/>
  <c r="F29" i="18"/>
  <c r="F28" i="18"/>
  <c r="F26" i="18"/>
  <c r="F20" i="18"/>
  <c r="F15" i="18"/>
  <c r="F12" i="18"/>
  <c r="F27" i="18" l="1"/>
  <c r="F45" i="18"/>
  <c r="F11" i="18"/>
  <c r="D25" i="18"/>
  <c r="F25" i="18" s="1"/>
  <c r="F21" i="18"/>
  <c r="F19" i="18" l="1"/>
  <c r="F55" i="18" l="1"/>
  <c r="F52" i="18" s="1"/>
  <c r="F56" i="18" s="1"/>
  <c r="F24" i="17" s="1"/>
  <c r="F25" i="17" s="1"/>
  <c r="F26" i="17" s="1"/>
  <c r="F27" i="17" s="1"/>
</calcChain>
</file>

<file path=xl/sharedStrings.xml><?xml version="1.0" encoding="utf-8"?>
<sst xmlns="http://schemas.openxmlformats.org/spreadsheetml/2006/main" count="493" uniqueCount="295">
  <si>
    <t>PREDDELA</t>
  </si>
  <si>
    <t>ZEMELJSKA DELA</t>
  </si>
  <si>
    <t>m3</t>
  </si>
  <si>
    <t>GRADBENA DELA</t>
  </si>
  <si>
    <t>m2</t>
  </si>
  <si>
    <t>OSTALA DELA</t>
  </si>
  <si>
    <t>PROVOG, inženirske storitve, d.o.o.</t>
  </si>
  <si>
    <t>DATUM:</t>
  </si>
  <si>
    <t>A.</t>
  </si>
  <si>
    <t>22,00 % DDV na osnovo:</t>
  </si>
  <si>
    <t>SKUPAJ Z DDV:</t>
  </si>
  <si>
    <t>E.M.</t>
  </si>
  <si>
    <t>količina</t>
  </si>
  <si>
    <t>cena/E.M.</t>
  </si>
  <si>
    <t>cena skupaj</t>
  </si>
  <si>
    <t>kos</t>
  </si>
  <si>
    <t>VODNOGOSPODARSKE UREDITVE</t>
  </si>
  <si>
    <t>kom</t>
  </si>
  <si>
    <t>Odlov rib izvajalca ribiškega upravljanja</t>
  </si>
  <si>
    <t>A.5.1</t>
  </si>
  <si>
    <t>kg</t>
  </si>
  <si>
    <t>m</t>
  </si>
  <si>
    <t>PROJEKTANTSKI POPIS DEL S PREDRAČUNOM</t>
  </si>
  <si>
    <t>Dobava in vgradnja izcednic PVC DN100 v KB zavarovanja za odvod zaledni vod</t>
  </si>
  <si>
    <t>PROJEKTANT:</t>
  </si>
  <si>
    <t>POOBLAŠČENI INŽENIR:</t>
  </si>
  <si>
    <t>INVESTITOR:</t>
  </si>
  <si>
    <t>Mariborska cesta 86, 3000 Celje</t>
  </si>
  <si>
    <t>SPLOŠNE OPOMBE:
Količine posameznih postavk so prikazane v raščenem ali vgrajenem stanju. Posamezni koeficienti razrahljivosti morajo biti upoštevani v ceni za enoto mere (E.M.)</t>
  </si>
  <si>
    <t>V popisu morajo biti v vseh postavkah vkalkulirana popolnoma vsa pripravljalna, pomožna in zaključna dela, ki pripadajo k posamezni postavki in so potrebna za nemoteno izvajanje del ter zaključek objekta.</t>
  </si>
  <si>
    <t>Dela se morajo izvajati v skladu z veljavnimi tehničnimi predpisi, standardi, normativi in z upoštevanjem predpisov iz varstva pri delu ter projektno dokumentacijo, ki je sestavni del popisa! Pred vgrajevanjem posameznih nosilnih elementov iz armiranega betona je obvezna kompletna seznanitev izvedbe po projektni dokumentaciji (načrti, tehnično poročilo in navodila projektanta statike).</t>
  </si>
  <si>
    <t>Izvajanje betonskih oz. AB konstrukcij mora biti v skladu s standardom SIST EN 13670:2010, SIST EN 206-1, SIST 1026. Dopustna odstopanja za pravokotnost, površinsko ravnost in dimenzije gradbenih elementov veljajo določila DIN 18202.</t>
  </si>
  <si>
    <t>Tesnost in stabilnost opažev mora biti brezpogojno zagotovljena. Opaž mora biti pripravljen tako, da so po razopaženju betonske ploskve brez deformacij, gladke oziroma v strukturi določeni s projektom in popolnoma zalite brez gnezd ter iztekajočega cementnge mleka. Izvajalec jamči za trdnost, varnost in stabilnost uporabljenih opažev. Vse izpostavljene robove zaključnih konstrukcijskih elementov je potrebno izvesti kot posnete robove (s trikotnimi letvicami dim. 3x3cm - lesene ali iz umetne mase) in ta strošek zajeti v postavki opažev.</t>
  </si>
  <si>
    <t>Betonska jeklena armatura mora biti pred vgradnjo armature oz. betona ustrezno očiščena in mora ustrezati zahtevam projektne dokumentacije (dimenzije, kvaliteta in vgradnja po PZI načrtu armature) ter veljavnim standardom. Pri vgradnji armature je potrebno izvesti:
- zadostne odmike armature od opaža (za zagotovitev zadostnega zaščitnega/krovnega sloja betona) s primernim podložnim materialom;
- z načrtom predvidene medsebojne odmike posameznih slojev armature in zagotoviti stabilnost (pravilna pozicioniranost) vgrajene armature med betoniranjem, ter pri tem uporabiti ustrezen montažni in vezni material, vključno z deli, ki so potrebna za montažo konstruktivne armature.</t>
  </si>
  <si>
    <t>Pri izvedbi upoštevati:
- izvedbo potrebnih prebojev in odprtin (glej ustrezne načrte), naknadna vrtanja in dolbenja niso dovoljena brez predhodnega soglasja projektanta;
- pred pričetkom betoniranja AB konstrukcijskih elementov morata biti opaž in armatura popolnoma pripravljena in armatura pregledana/prevzeta s strani nadzornika;
- višina prostega pada betona pri betoniranju ne sme biti večja od 1m;
- ustrezno negovanje vgrajenega betona, vključno z morebitno zaščito pred škodljivimi vremenskimi vplivi, za dosego ustrezne kvalitete betona;
- zahteve iz projektne dokumentacije, ki je sestavni del popisa, zahteve splošnih določil za betonska dela in zahteve po opisih posameznih postavk;</t>
  </si>
  <si>
    <t>Delovni odri so zajeti v cenah posameznih postavk in se ne obračunavajo posebej!</t>
  </si>
  <si>
    <t>Izdelava kaptaže in cevitve za kontroliran odvod vode za čas izvedbe prepusta: cev PEHD fi 160</t>
  </si>
  <si>
    <t>Ročni izkop za pripravo temeljnih tal za izdelavo prepusta, 2% ocena celotnih izkopov</t>
  </si>
  <si>
    <t>Izvedba utrjenega zasipa za prepustom in komprimacija v 30 cm slojih</t>
  </si>
  <si>
    <t>Zatravitev tangiranih površin</t>
  </si>
  <si>
    <t>Dobava, montaža in demontaža opaža AB plošče - temeljna in vezna plošča prepusta</t>
  </si>
  <si>
    <t>Dobava, montaža in demontaža opaža AB venca. Na vseh vogalih letve 2/2 cm. Cena vključuje razopaženje in čiščenje opažev.</t>
  </si>
  <si>
    <t>Dobava in vgradnja betona C30/37 XD3, XF4 Cl 0,2 Dmax16 S4 za izvedbo AB vezne plošče in AB robnega venca</t>
  </si>
  <si>
    <t>Dobava in vgradnja betona C25/30 XC2 XF2 Cl 0,2 Dmax16 S4 za izvedbo AB temeljne plošče</t>
  </si>
  <si>
    <t>Dobava in vgradnja PVC DN100 v AB robni venec</t>
  </si>
  <si>
    <t>Dobava in vgrajevanje rebraste armature B St 500 B - armaturne mreže Q628 -  v temeljno in vezno ploščo prepusta</t>
  </si>
  <si>
    <t>Dobava in vgrajevanje rebraste krivljene armature B St 500 B za AB robni venec</t>
  </si>
  <si>
    <t>Dobava in vgrajevanje rebraste armature B St 500 B - armaturne mreže Q503 -  v zaledje KB zidu naklona 5:1</t>
  </si>
  <si>
    <t>PROJEKT:</t>
  </si>
  <si>
    <t>ARH. ŠT. PROJ.:</t>
  </si>
  <si>
    <t>Uroš Vogrinc, univ.dipl.inž.grad. G-3810</t>
  </si>
  <si>
    <t>Skupaj</t>
  </si>
  <si>
    <t>SKUPAJ IZVEDBA PREPUSTA IN VGU ZAVAROVANJ:</t>
  </si>
  <si>
    <t>Dobava in vgradnja lomljenca Dsr=0,50-1,00m v betonu C20/25 (70/30) za izvedbo KB zavarovanja (kamnita zložba v betonu), vidno poglobljene fuge.</t>
  </si>
  <si>
    <t>Nepredvidena dela 10% - obračun po dejanskih stroških</t>
  </si>
  <si>
    <t>eur</t>
  </si>
  <si>
    <t>A.5.2</t>
  </si>
  <si>
    <t>A.1</t>
  </si>
  <si>
    <t>A.1.1</t>
  </si>
  <si>
    <t>A.1.2</t>
  </si>
  <si>
    <t>A.1.3</t>
  </si>
  <si>
    <t>A.2</t>
  </si>
  <si>
    <t>A.2.1</t>
  </si>
  <si>
    <t>A.2.2</t>
  </si>
  <si>
    <t>A.2.3</t>
  </si>
  <si>
    <t>A.2.4</t>
  </si>
  <si>
    <t>A.2.5</t>
  </si>
  <si>
    <t>A.2.6</t>
  </si>
  <si>
    <t>A.2.7</t>
  </si>
  <si>
    <t>A.3</t>
  </si>
  <si>
    <t>A.3.1</t>
  </si>
  <si>
    <t>A.3.2</t>
  </si>
  <si>
    <t>A.3.3</t>
  </si>
  <si>
    <t>A.3.4</t>
  </si>
  <si>
    <t>A.3.5</t>
  </si>
  <si>
    <t>A.3.6</t>
  </si>
  <si>
    <t>A.3.7</t>
  </si>
  <si>
    <t>A.3.8</t>
  </si>
  <si>
    <t>A.3.9</t>
  </si>
  <si>
    <t>A.3.10</t>
  </si>
  <si>
    <t>A.4</t>
  </si>
  <si>
    <t>A.4.1</t>
  </si>
  <si>
    <t>A.4.2</t>
  </si>
  <si>
    <t>A.4.3</t>
  </si>
  <si>
    <t>A.4.4</t>
  </si>
  <si>
    <t>A.5</t>
  </si>
  <si>
    <t>Strojni izkop materiala III.-IV.ktg v mokrem za izvedbo prepusta in KB zavarovanj (vključno s črpanjem vode ob izkopu za temelje)</t>
  </si>
  <si>
    <t>Priprava in organizacija gradbišča z vsemi objekti, instalacijami in orodji,  zagotovitvijo varnostnih, higiensko tehničnih pogojev, predpisanih oznak gradbišča, ureditev dostopov, ureditev gradbiščnih provizorijev, premiki mehanizacije, vključno s končnim čiščenjem gradbišča po končanih delih in vzpostavitvijo prvotnega stanja na prizadetih površinah. Vključuje tudi izvedbo potrebnih posekov drevja na območju gradbišča.</t>
  </si>
  <si>
    <t>Nakladanje in odvoz viškov materiala na stalno deponijo po izboru izvajalca</t>
  </si>
  <si>
    <t>Zasip nad in za zavarovanjem brežine s formiranjem brežin</t>
  </si>
  <si>
    <t>OBČINA VOJNIK</t>
  </si>
  <si>
    <t>Keršova 8</t>
  </si>
  <si>
    <t>3212 Vojnik</t>
  </si>
  <si>
    <t>Posek dreves fi 10 - 20 s klesetenjem, razžaganjem, odstranitvijo na deponijo</t>
  </si>
  <si>
    <t>A.1.4</t>
  </si>
  <si>
    <t>A.1.5</t>
  </si>
  <si>
    <t>A.1.6</t>
  </si>
  <si>
    <t>A.1.7</t>
  </si>
  <si>
    <t>Izvedba križanj z obstoječimi komunalnimi vodi in zaščita (tudi prestavitev začasna ali trajna) vodov skladno s soglasji in pod nadzorom upravljalca vodov vključno z obnovo opozorilnih trakov. Katastrski posnetek križanj in vnos v GIS.</t>
  </si>
  <si>
    <t>Plačilo stroška geodetske uradne zakoličbe, vključno z zakoličbo profilov in zavarovanje le teh</t>
  </si>
  <si>
    <t>kpl</t>
  </si>
  <si>
    <t>Dobava, postavitev in odstranitev dvostranskih gradbenih profilov</t>
  </si>
  <si>
    <t>VOZIŠČNE KONSTRUKCIJE</t>
  </si>
  <si>
    <t>Tampon 0-22; dobava in vgradnja izravnalno nosilne plasti v debelini 20cm iz drobljenca frakcije 0-22mm z utrjevanjem do modula stisljivosti ≥ 100 Mpa, vključno z izvedbo meritev zbitosti. Izravnava nasutja z natančnostjo ±1 cm.</t>
  </si>
  <si>
    <t>Drobljenec TD63; dobava in vgradnja nosilne plasti v debelini 40cm iz drobljenca frakcije 0-63mm z utrjevanjem do modula stisljivosti ≥ 80 Mpa, vključno z izvedbo meritev zbitosti. Izravnava nasutja z natančnostjo ±3 cm.</t>
  </si>
  <si>
    <t>Izdelava voziščne obrabno zaporne plast iz AC 8surf B50/70 A3 debeline 3cm</t>
  </si>
  <si>
    <t xml:space="preserve">Stikovanje starega in novega asfalta </t>
  </si>
  <si>
    <t>Izdelava bankin z dobavo in vgradnjo tampona 0-32mm v debelini asfaltnih plasti, izvedba in uvaljanje po projektnem padcu 4%</t>
  </si>
  <si>
    <t>A.4.5</t>
  </si>
  <si>
    <t>A.4.6</t>
  </si>
  <si>
    <t>Izdelava voziščne nosilne zaščitna plast iz AC 16base B50/70 A3 debeline 6cm</t>
  </si>
  <si>
    <t>Projektantski nadzor</t>
  </si>
  <si>
    <t>ur</t>
  </si>
  <si>
    <t>A.5.3</t>
  </si>
  <si>
    <t>A.6</t>
  </si>
  <si>
    <t>A.6.1</t>
  </si>
  <si>
    <t>A.6.2</t>
  </si>
  <si>
    <t>A.6.3</t>
  </si>
  <si>
    <t>Izdelava ročne kamnitobetonske obloge v prepustu iz lomljenca v betonu C20/25, poševnine v prepustu B/H=50/25cm, vključno s fugiranjem reg po koncu del</t>
  </si>
  <si>
    <t>Dobava in montaža klasične jeklene varnostne ograje N2W5 s poviški za pešce, vključno z vsem pritrdilnim materialom, skladno z navodili proizvajalca. H=120cm</t>
  </si>
  <si>
    <t xml:space="preserve">Dobava in zabijanje lesenega pilota Φ30 cm za talni prag, L=2.5m </t>
  </si>
  <si>
    <t>IzN št. 24/48_3</t>
  </si>
  <si>
    <t>Dobava in vgradnja elementov škatlastega prepusta svetle dimenzije 1.5x1.5x1.0m</t>
  </si>
  <si>
    <t>Rušenje obstoječe premostitve in opornikov, zavarovanja vključno z rušenjem temeljev ter s pripadajočo opremo - s trajno odstranitvijo</t>
  </si>
  <si>
    <t>Izvedba začasne premostitve in preusmeritev prometa preko le te, ki zajema: pripravo trase z izvedbo vseh zemeljskih del na gorvodni strani obstoječega mostu, dobava in montaža AB cevnih elementov DN1000 za izvedbo začasne premostitve (2 kom 2 m), obzidava z lomljencem gorvodne in dolvodne strani prepusta, izvedba makadamskega vozišča preko prepusta z navezavo na obstoječo cesto, izvedba označb in varnostnih ograj. Vzdrževanje premostitve za čas trajanja gradnje in kompletna odstranitev po izvedenih delih.</t>
  </si>
  <si>
    <t>Dobava in vgradnja lesene oblice Φ30cm dolžine 1.5-2.0 m, za izdelavo talnega in stopenjskega pragu</t>
  </si>
  <si>
    <t>Dobava in vgradnja lomljenca v suho za zavarovanje dna (varovanje dna, talni prag, stopenjski prag)</t>
  </si>
  <si>
    <t>Rušenje obstoječega mostu in opornikov vključno z rušenjem temeljev ter s pripadajočo opremo - s trajno odstranitvijo</t>
  </si>
  <si>
    <t>Izvedba začasne premostitve in preusmeritev prometa preko le te, ki zajema: pripravo trase z izvedbo vseh zemeljskih del na gorvodni strani obstoječega mostu, dobava in montaža AB cevnih elementov DN1200 za izvedbo začasne premostitve (3 kom po 2 m), obzidava z lomljencem gorvodne in dolvodne strani prepusta, izvedba makadamskega vozišča preko prepusta z navezavo na obstoječo cesto, izvedba označb in varnostnih ograj. Vzdrževanje premostitve za čas trajanja gradnje in kompletna odstranitev po izvedenih delih.</t>
  </si>
  <si>
    <t>Dobava in vgradnja lomljenca v suho za zavarovanje dna (varovanje dna in talni prag)</t>
  </si>
  <si>
    <t>B.</t>
  </si>
  <si>
    <t>PREPUST LANDEK</t>
  </si>
  <si>
    <t xml:space="preserve">C. </t>
  </si>
  <si>
    <t>B.1</t>
  </si>
  <si>
    <t>B.1.1</t>
  </si>
  <si>
    <t>B.1.2</t>
  </si>
  <si>
    <t>B.1.3</t>
  </si>
  <si>
    <t>B.1.4</t>
  </si>
  <si>
    <t>B.1.5</t>
  </si>
  <si>
    <t>B.1.6</t>
  </si>
  <si>
    <t>B.1.7</t>
  </si>
  <si>
    <t>B.2</t>
  </si>
  <si>
    <t>B.2.1</t>
  </si>
  <si>
    <t>B.2.2</t>
  </si>
  <si>
    <t>B.2.3</t>
  </si>
  <si>
    <t>B.2.4</t>
  </si>
  <si>
    <t>B.2.5</t>
  </si>
  <si>
    <t>B.2.6</t>
  </si>
  <si>
    <t>B.2.7</t>
  </si>
  <si>
    <t>B.3</t>
  </si>
  <si>
    <t>B.3.1</t>
  </si>
  <si>
    <t>B.3.2</t>
  </si>
  <si>
    <t>B.3.3</t>
  </si>
  <si>
    <t>B.3.4</t>
  </si>
  <si>
    <t>B.3.5</t>
  </si>
  <si>
    <t>B.3.6</t>
  </si>
  <si>
    <t>B.3.7</t>
  </si>
  <si>
    <t>B.3.8</t>
  </si>
  <si>
    <t>B.3.9</t>
  </si>
  <si>
    <t>B.3.10</t>
  </si>
  <si>
    <t>B.4</t>
  </si>
  <si>
    <t>B.4.1</t>
  </si>
  <si>
    <t>B.4.2</t>
  </si>
  <si>
    <t>B.4.3</t>
  </si>
  <si>
    <t>B.4.4</t>
  </si>
  <si>
    <t>B.4.5</t>
  </si>
  <si>
    <t>B.4.6</t>
  </si>
  <si>
    <t>B.5</t>
  </si>
  <si>
    <t>B.5.1</t>
  </si>
  <si>
    <t>B.5.2</t>
  </si>
  <si>
    <t>B.5.3</t>
  </si>
  <si>
    <t>B.5.4</t>
  </si>
  <si>
    <t>B.5.5</t>
  </si>
  <si>
    <t>B.5.6</t>
  </si>
  <si>
    <t>B.6</t>
  </si>
  <si>
    <t>B.6.1</t>
  </si>
  <si>
    <t>B.6.2</t>
  </si>
  <si>
    <t>B.6.3</t>
  </si>
  <si>
    <t>PREPUST HOMEC</t>
  </si>
  <si>
    <t>Dobava in vgradnja elementov škatlastega prepusta svetle dimenzije 2x2x1.0m</t>
  </si>
  <si>
    <t>Dobava in vgradnja lesene oblice Φ30cm dolžine 2.0-2.5 m, za izdelavo talnega pragu</t>
  </si>
  <si>
    <t>C.1</t>
  </si>
  <si>
    <t>C.1.1</t>
  </si>
  <si>
    <t>C.1.2</t>
  </si>
  <si>
    <t>C.1.3</t>
  </si>
  <si>
    <t>C.1.4</t>
  </si>
  <si>
    <t>C.1.5</t>
  </si>
  <si>
    <t>C.1.6</t>
  </si>
  <si>
    <t>C.1.7</t>
  </si>
  <si>
    <t>C.2</t>
  </si>
  <si>
    <t>C.2.1</t>
  </si>
  <si>
    <t>C.2.2</t>
  </si>
  <si>
    <t>C.2.3</t>
  </si>
  <si>
    <t>C.2.4</t>
  </si>
  <si>
    <t>C.2.5</t>
  </si>
  <si>
    <t>C.2.6</t>
  </si>
  <si>
    <t>C.2.7</t>
  </si>
  <si>
    <t>C.3</t>
  </si>
  <si>
    <t>C.3.1</t>
  </si>
  <si>
    <t>C.3.2</t>
  </si>
  <si>
    <t>C.3.3</t>
  </si>
  <si>
    <t>C.3.4</t>
  </si>
  <si>
    <t>C.3.5</t>
  </si>
  <si>
    <t>C.3.6</t>
  </si>
  <si>
    <t>C.3.7</t>
  </si>
  <si>
    <t>C.3.8</t>
  </si>
  <si>
    <t>C.3.9</t>
  </si>
  <si>
    <t>C.3.10</t>
  </si>
  <si>
    <t>C.4</t>
  </si>
  <si>
    <t>C.4.1</t>
  </si>
  <si>
    <t>C.4.2</t>
  </si>
  <si>
    <t>C.4.3</t>
  </si>
  <si>
    <t>C.4.4</t>
  </si>
  <si>
    <t>C.4.5</t>
  </si>
  <si>
    <t>C.4.6</t>
  </si>
  <si>
    <t>C.5</t>
  </si>
  <si>
    <t>C.5.1</t>
  </si>
  <si>
    <t>C.5.2</t>
  </si>
  <si>
    <t>C.5.3</t>
  </si>
  <si>
    <t>C.5.4</t>
  </si>
  <si>
    <t>C.5.5</t>
  </si>
  <si>
    <t>C.5.6</t>
  </si>
  <si>
    <t>C.6</t>
  </si>
  <si>
    <t>C.6.1</t>
  </si>
  <si>
    <t>C.6.2</t>
  </si>
  <si>
    <t>C.6.3</t>
  </si>
  <si>
    <t>A. MOST - SANACIJA PREPUSTA ČEZ POTOK V VIZORAH NA JP964991 OB VIZORE 3B</t>
  </si>
  <si>
    <t>Priprava in organizacija gradbišča z vsemi objekti, instalacijami in orodji,  zagotovitvijo varnostnih, higiensko tehničnih pogojev, predpisanih oznak gradbišča, ureditev dostopov, ureditev gradbiščnih provizorijev, premiki mehanizacije, vključno s končnim čiščenjem gradbišča po končanih delih in vzpostavitvijo prvotnega stanja na prizadetih površinah.</t>
  </si>
  <si>
    <t>Izvedba začasnega obvoza preko cevnih elementov DN1200 (2 kom) in preusmeritev prometa prometa preko le te, ki zajema: pripravo trase z izvedbo vseh zemeljskih del na gorvodni strani predvidenega mostu, izvedba makadamskega vozišča z navezavo na obstoječo cesto, izvedba označb in varnostnih ograj. Vzdrževanje premostitve za čas trajanja gradnje in kompletna odstranitev po izvedenih delih.</t>
  </si>
  <si>
    <t xml:space="preserve">Izdelava elaborata začasne prometne ureditve med gradnjo ceste, s postavitvijo in vzdrževanjem prometne signalizacije za začasno ureditev prometa za celoten čas gradnje </t>
  </si>
  <si>
    <t>Začasna/stalna prestavitev in zaščita komunalnih vodov na območju predvidene rekonstrukcije - po navodilih upravljalca</t>
  </si>
  <si>
    <t>Rušenje obstoječe mostne konstrukcije vključno z vsemi sestavnimi deli in opremo le te. V ceni postavk zajeti nakladanje ruševin na kamion s sortiranjem odpadnega gradbenega materiala in odvozom v obrat za predelavo gradbenih odpadkov z vsemi stroški prevzema odpadkov/ruševin oz. v trajno deponijo z vsemi stroški stalne deponije.</t>
  </si>
  <si>
    <t>A.1.8</t>
  </si>
  <si>
    <t>Posek odvečne grmovne zarasti z odstranitvijo na deponijo</t>
  </si>
  <si>
    <t>A.1.9</t>
  </si>
  <si>
    <t>Posek dreves fi 20 - 30 s klestenjem, razžaganjem, odstranitvijo na deponijo</t>
  </si>
  <si>
    <t>V postavkah kjer je predviden odvoz v trajno deponijo, je potrebno zajeti nakladanje materiala na kamion, odvoz na trajno deponijo in vse stroške povezanane s stalnim deponiranjem. Izvajalec je dolžan izročiti investitorju vsa potrebna dokazila o načinu ravnanja in deponiranja gradbenih odpadkov in odvečnega zemeljskega materiala pri izkopih, skladno z veljavno zakonodajo, pravilniki oz. uredbami, ki urejajo evidenco stalno deponiranega materiala;</t>
  </si>
  <si>
    <t>V postavkah kjer je predviden ponovni zasip z izkopanim materialom, je potrebno v ceni upoštevati odmet na rob izkopa oz. nakladanje na kamion z odvozom na najbližjo možno lokacijo za začasno deponiranje, vključno z vsemi stroški urejanja začasne deponije;</t>
  </si>
  <si>
    <t>V ceni je potrebno zajeti morebitne dostopne-gradbiščne ceste in delovne platoje za potrebe dostopov in premikov gradbene mehanizacije in transportnih sredstev pri izvajanju del;</t>
  </si>
  <si>
    <t>Ureditev začasne preusmeritve potoka z nasipom iz priročnega materiala</t>
  </si>
  <si>
    <t>Strojni izkop III.-IV. ktg. za izvedbo KB opornikov, zavarovanja z odlaganjem na lokaciji - vključno s črpanjem vode iz gradbene jame v času gradnje</t>
  </si>
  <si>
    <t>Strojni izkop IV.-V. ktg. za izvedbo temeljev mostu in pete KB zavarovanja z odlaganjem na lokaciji - vključno s črpanjem vode iz gradbene jame v času gradnje</t>
  </si>
  <si>
    <t>Izvedba zasipa za mostnimi oporniki in krili s tamponskim materialom frakcije 0/64 mm vključno z utrjevanjem po plasteh deb. maks. 30cm.</t>
  </si>
  <si>
    <t>Strojno nakladanje in odvoz viškov materiala  na urejeno stalno deponijo po izbiri izvajalca, vključno s stroški stalnega deponiranja</t>
  </si>
  <si>
    <t>Formiranje in planiranje brežin</t>
  </si>
  <si>
    <t>Ozelenitev - zatravitev tangiranih površin</t>
  </si>
  <si>
    <t>Opaženje obsega dobavo in vgraditev ustreznega opažnega materiala, postavitev, odstranitev, čiščenje in skladiščenje. Odri in opaži  morajo omogočiti vgraditev betona v izmerah po projektu. Načrte za odre in opaže z dokazom nosilnosti in stabilnosti si mora pridobiti izvajalec sam, glede na izbran opažni sistem. Obračun opažev je po stični površini z betonom.</t>
  </si>
  <si>
    <t>Dobava in vgradnja lomljenca Dsr=0,50-1,00m v betonu C20/25 (60/40) za izvedbo KB opornikov (kamnita zložba v betonu), vidno poglobljene fuge.</t>
  </si>
  <si>
    <t>Dobava, montaža in demontaža enostranskega podprtega opaža KB opornikov in opaž prehodnih plošč. Cena vključuje razopaženje in čiščenje opažev.</t>
  </si>
  <si>
    <r>
      <t>Dobava, montaža in demontaža</t>
    </r>
    <r>
      <rPr>
        <sz val="11"/>
        <color rgb="FFFF0000"/>
        <rFont val="Calibri"/>
        <family val="2"/>
        <charset val="238"/>
      </rPr>
      <t xml:space="preserve"> </t>
    </r>
    <r>
      <rPr>
        <sz val="11"/>
        <color theme="1"/>
        <rFont val="Calibri"/>
        <family val="2"/>
        <charset val="238"/>
      </rPr>
      <t>opaža prekladne konstrukcije, vključno z ustrezno razširjeno podporno konstrukcijo in opažem za AB ploščo. Na vseh vogalih letve 3/3 cm. Cena vključuje razopaženje in čiščenje opažev. Vidni beton VB2.</t>
    </r>
  </si>
  <si>
    <t>Dobava, montaža in demontaža opaža - dvostranski vezan opaž za AB gredo in robne vence. Cena vključuje razopaženje in čiščenje opažev.</t>
  </si>
  <si>
    <t>Dobava in vgrajevanje ojačanega cementnega betona C30/37 v prekladno konstrukcijo tipa polne plošče (plošča premostitvene konstrukcije izvedena v nagibu, beton kvalitete C30/37, XD1, XF3, Dmax32, PV-II)</t>
  </si>
  <si>
    <t>Dobava in vgrajevanje ojačanega cementnega betona kvalitete  C30/37, XD2, XF3, Dmax16, PV-II , za izvedbo krone opornikov - AB grede 50/30 cm in prehodni plošči 200/15 cm</t>
  </si>
  <si>
    <t>Dobava in vgrajevanje ojačanega cementnega betona kvalitete C30/37, XD3, XF4, Cl 0,2, Dmax16, S4, PV-III , za izvedbo AB robnih vencev 25/25 cm</t>
  </si>
  <si>
    <t>Izdelava prehodnih plošč za navezavo na obstoječ teren iz AB deb. 0,15 cm armirane z Q503, vključno z izdelavo sidrišča v mostna opornika.</t>
  </si>
  <si>
    <t>Dobava in vgradnja trikotne letve 2x2 cm</t>
  </si>
  <si>
    <t>m1</t>
  </si>
  <si>
    <t>Dobava in vgrajevanje rebraste armature B St 500 B v zaledje mostnih opornikov in prehodni plošči (mreže Q503)</t>
  </si>
  <si>
    <t>A.3.11</t>
  </si>
  <si>
    <t>Dobava in vgrajevanje rebraste armature B St 500 B za AB ploščo in vence s premerom nad 12 mm</t>
  </si>
  <si>
    <t>A.3.12</t>
  </si>
  <si>
    <t xml:space="preserve">Dobava in vgrajevanje rebraste armature B St 500 B za AB ploščo in vence s premerom do 12 mm </t>
  </si>
  <si>
    <t>A.3.13</t>
  </si>
  <si>
    <t xml:space="preserve">Dobava in vgrajevanje osnovnega bitumenskega premaza </t>
  </si>
  <si>
    <t>A.3.14</t>
  </si>
  <si>
    <t>Dobava in vgrajevanje bitumenskih hidroizolativnih trakov 5mm s poliestrskim nosilcem</t>
  </si>
  <si>
    <t>A.3.15</t>
  </si>
  <si>
    <t>Dobava in vgrajevanje PVC DN110 mm za vodenje kablov</t>
  </si>
  <si>
    <t>Asfaltiranje mostu z dvoslojnim asfaltom, zasčitni sloj hidroizolacije AC 8 surf PmB 45/80 A3 v debelini 3cm in obrabno zaporni sloj asfaltbetona v debelini 4 cm, frakcije 0-8 mm (AC 8 surf B50/70, A3)</t>
  </si>
  <si>
    <t>Izdelava voziščne nosilne zaščitna plast iz AC 16base B50/70 A4 debeline 6cm</t>
  </si>
  <si>
    <t>Izdelava voziščne obrabno zaporne plast iz AC 11surf B50/70 A4 debeline 4cm</t>
  </si>
  <si>
    <t>A.4.7</t>
  </si>
  <si>
    <t>OPREMA CEST</t>
  </si>
  <si>
    <t>Dobava in montaža JVO N2W5 s poviški za pešce skladno z navodili proizvajalca, pritrditev na rob prekladne konstrukcije</t>
  </si>
  <si>
    <t>Dobava in montaža JVO N2W5 skladno z navodili proizvajalca</t>
  </si>
  <si>
    <t>Dobava in montaža prometnih znakov novih - 1 x 2105  in 1 x 2106</t>
  </si>
  <si>
    <t>Dobava in vgradnja lomljenca Dsr=0,40-1,00m v betonu C20/25 (70/30) za zavarovanje pete in brežin (kamnita zložba v betonu), vidne fuge poglobljene, humusirane in zatravljene.</t>
  </si>
  <si>
    <t>Dobava in vgradnja lomljenca Dsr=0,40-1,00m v suho v dno talnega pragu.</t>
  </si>
  <si>
    <t xml:space="preserve">Dobava in zabijanje pilotov fi20cm  
dolžine 2,00m iz smrekovega lesa s pilotnimi čevlji. </t>
  </si>
  <si>
    <t>A.6.4</t>
  </si>
  <si>
    <t xml:space="preserve">Dobava, obdelava in vgraditev lupljneih smrekovih brun fi30cm  
za izdelavo talnega pragu, vključno s sponskim materialom in kompresorjem za zabijanje sponk </t>
  </si>
  <si>
    <t>A.6.5</t>
  </si>
  <si>
    <t>A.7</t>
  </si>
  <si>
    <t>A.7.1</t>
  </si>
  <si>
    <t>Geotehnični nadzor med gradnjo</t>
  </si>
  <si>
    <t xml:space="preserve">Projektantski nadzor </t>
  </si>
  <si>
    <t>A.7.3</t>
  </si>
  <si>
    <t>SKUPAJ MOST:</t>
  </si>
  <si>
    <t>PREPUST VIZORE</t>
  </si>
  <si>
    <t>SANACIJA PREPUSTA ČEZ POTOK V VIZORAH NA JP964991 OB VIZORE 3B
SANACIJA PREPUSTA ČEZ POTOK V VIZORAH NA JP 964991 OB HOMEC 2C
SANACIJA PREPUSTA ČEZ POTOK NA JP 964991 OB LANDEK 30</t>
  </si>
  <si>
    <t>marec 2025</t>
  </si>
  <si>
    <t>A.7.2</t>
  </si>
  <si>
    <t>A.7.4</t>
  </si>
  <si>
    <t>B. ŠKATLAST PREPUST IN VGU ZAVAROVANJA S CESTNO NAVEZAVO - HOMEC 2C</t>
  </si>
  <si>
    <t>C. ŠKATLAST PREPUST IN VGU ZAVAROVANJA S CESTNO NAVEZAVO - LANDEK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</si>
</sst>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_-* #,##0.00\ [$€-424]_-;\-* #,##0.00\ [$€-424]_-;_-* &quot;-&quot;??\ [$€-424]_-;_-@_-"/>
  </numFmts>
  <fonts count="44">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0000"/>
      <name val="Calibri"/>
      <family val="2"/>
      <scheme val="minor"/>
    </font>
    <font>
      <sz val="8"/>
      <name val="Calibri"/>
      <family val="2"/>
      <scheme val="minor"/>
    </font>
    <font>
      <sz val="11"/>
      <name val="Calibri"/>
      <family val="2"/>
      <charset val="238"/>
    </font>
    <font>
      <b/>
      <sz val="12"/>
      <name val="Calibri"/>
      <family val="2"/>
      <charset val="238"/>
    </font>
    <font>
      <sz val="12"/>
      <name val="Calibri"/>
      <family val="2"/>
      <charset val="238"/>
    </font>
    <font>
      <b/>
      <sz val="8"/>
      <name val="Calibri"/>
      <family val="2"/>
      <charset val="238"/>
    </font>
    <font>
      <sz val="8"/>
      <name val="Calibri"/>
      <family val="2"/>
      <charset val="238"/>
    </font>
    <font>
      <b/>
      <sz val="11"/>
      <name val="Calibri"/>
      <family val="2"/>
      <charset val="238"/>
    </font>
    <font>
      <sz val="10"/>
      <name val="Calibri"/>
      <family val="2"/>
      <charset val="238"/>
    </font>
    <font>
      <sz val="10"/>
      <name val="Arial CE"/>
      <charset val="238"/>
    </font>
    <font>
      <sz val="14"/>
      <name val="Calibri"/>
      <family val="2"/>
      <charset val="238"/>
    </font>
    <font>
      <sz val="18"/>
      <name val="Calibri"/>
      <family val="2"/>
      <charset val="238"/>
    </font>
    <font>
      <sz val="9"/>
      <name val="Calibri"/>
      <family val="2"/>
      <charset val="238"/>
    </font>
    <font>
      <sz val="11"/>
      <color theme="1"/>
      <name val="Calibri"/>
      <family val="2"/>
      <charset val="238"/>
    </font>
    <font>
      <sz val="9"/>
      <color theme="1"/>
      <name val="Calibri"/>
      <family val="2"/>
      <charset val="238"/>
    </font>
    <font>
      <sz val="11"/>
      <color theme="1"/>
      <name val="Calibri"/>
      <family val="2"/>
    </font>
    <font>
      <sz val="9"/>
      <name val="Calibri"/>
      <family val="2"/>
    </font>
    <font>
      <sz val="11"/>
      <name val="Calibri"/>
      <family val="2"/>
    </font>
    <font>
      <u/>
      <sz val="14"/>
      <name val="Calibri"/>
      <family val="2"/>
      <charset val="238"/>
    </font>
    <font>
      <b/>
      <sz val="14"/>
      <name val="Calibri"/>
      <family val="2"/>
      <charset val="238"/>
    </font>
    <font>
      <sz val="8"/>
      <name val="Calibri"/>
      <family val="2"/>
    </font>
    <font>
      <b/>
      <sz val="16"/>
      <name val="Calibri"/>
      <family val="2"/>
      <charset val="238"/>
    </font>
    <font>
      <b/>
      <sz val="12"/>
      <color theme="1"/>
      <name val="Calibri"/>
      <family val="2"/>
      <scheme val="minor"/>
    </font>
    <font>
      <b/>
      <sz val="11"/>
      <color theme="1"/>
      <name val="Calibri"/>
      <family val="2"/>
    </font>
    <font>
      <sz val="10"/>
      <color theme="1"/>
      <name val="Arial CE"/>
      <family val="2"/>
      <charset val="238"/>
    </font>
    <font>
      <sz val="9"/>
      <color theme="1"/>
      <name val="Calibri"/>
      <family val="2"/>
    </font>
    <font>
      <b/>
      <sz val="9"/>
      <color theme="1"/>
      <name val="Calibri"/>
      <family val="2"/>
    </font>
    <font>
      <b/>
      <sz val="11"/>
      <color theme="1"/>
      <name val="Calibri"/>
      <family val="2"/>
      <charset val="238"/>
    </font>
    <font>
      <b/>
      <sz val="9"/>
      <name val="Calibri"/>
      <family val="2"/>
      <charset val="238"/>
    </font>
    <font>
      <u/>
      <sz val="14"/>
      <color theme="1"/>
      <name val="Calibri"/>
      <family val="2"/>
      <charset val="238"/>
    </font>
    <font>
      <b/>
      <sz val="14"/>
      <color theme="1"/>
      <name val="Calibri"/>
      <family val="2"/>
      <charset val="238"/>
    </font>
    <font>
      <sz val="14"/>
      <color theme="1"/>
      <name val="Calibri"/>
      <family val="2"/>
      <charset val="238"/>
    </font>
    <font>
      <b/>
      <sz val="9"/>
      <color theme="1"/>
      <name val="Calibri"/>
      <family val="2"/>
      <charset val="238"/>
    </font>
    <font>
      <sz val="11"/>
      <color rgb="FFFF0000"/>
      <name val="Calibri"/>
      <family val="2"/>
    </font>
    <font>
      <sz val="8"/>
      <color theme="1"/>
      <name val="Calibri"/>
      <family val="2"/>
    </font>
    <font>
      <sz val="8"/>
      <color theme="1"/>
      <name val="Muli"/>
      <charset val="238"/>
    </font>
    <font>
      <sz val="8"/>
      <color theme="1"/>
      <name val="Calibri"/>
      <family val="2"/>
      <charset val="238"/>
    </font>
    <font>
      <sz val="11"/>
      <color rgb="FFFF0000"/>
      <name val="Calibri"/>
      <family val="2"/>
      <charset val="238"/>
    </font>
    <font>
      <sz val="8"/>
      <color rgb="FFFF0000"/>
      <name val="Calibri"/>
      <family val="2"/>
      <charset val="238"/>
    </font>
    <font>
      <sz val="9"/>
      <color rgb="FFFF0000"/>
      <name val="Calibri"/>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indexed="55"/>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4" fillId="0" borderId="0"/>
    <xf numFmtId="0" fontId="3" fillId="0" borderId="0"/>
    <xf numFmtId="0" fontId="13" fillId="0" borderId="0"/>
    <xf numFmtId="0" fontId="13" fillId="0" borderId="0"/>
  </cellStyleXfs>
  <cellXfs count="194">
    <xf numFmtId="0" fontId="0" fillId="0" borderId="0" xfId="0"/>
    <xf numFmtId="0" fontId="3" fillId="0" borderId="0" xfId="2"/>
    <xf numFmtId="0" fontId="7" fillId="0" borderId="4" xfId="2" applyFont="1" applyBorder="1" applyAlignment="1">
      <alignment horizontal="center" vertical="top" wrapText="1"/>
    </xf>
    <xf numFmtId="0" fontId="8" fillId="0" borderId="0" xfId="2" applyFont="1" applyAlignment="1">
      <alignment horizontal="center" vertical="top" wrapText="1"/>
    </xf>
    <xf numFmtId="0" fontId="8" fillId="0" borderId="5" xfId="2" applyFont="1" applyBorder="1" applyAlignment="1">
      <alignment horizontal="center" vertical="top" wrapText="1"/>
    </xf>
    <xf numFmtId="0" fontId="7" fillId="0" borderId="6" xfId="2" applyFont="1" applyBorder="1" applyAlignment="1">
      <alignment horizontal="left" vertical="top"/>
    </xf>
    <xf numFmtId="0" fontId="8" fillId="0" borderId="7" xfId="2" applyFont="1" applyBorder="1" applyAlignment="1">
      <alignment horizontal="center" vertical="top" wrapText="1"/>
    </xf>
    <xf numFmtId="0" fontId="8" fillId="0" borderId="8" xfId="2" applyFont="1" applyBorder="1" applyAlignment="1">
      <alignment horizontal="center" vertical="top" wrapText="1"/>
    </xf>
    <xf numFmtId="0" fontId="7" fillId="0" borderId="4" xfId="2" applyFont="1" applyBorder="1" applyAlignment="1">
      <alignment horizontal="left" vertical="top"/>
    </xf>
    <xf numFmtId="0" fontId="8" fillId="0" borderId="1" xfId="2" applyFont="1" applyBorder="1" applyAlignment="1">
      <alignment horizontal="center" vertical="top" wrapText="1"/>
    </xf>
    <xf numFmtId="0" fontId="8" fillId="0" borderId="10" xfId="2" applyFont="1" applyBorder="1" applyAlignment="1">
      <alignment horizontal="center" vertical="top" wrapText="1"/>
    </xf>
    <xf numFmtId="0" fontId="7" fillId="0" borderId="11" xfId="2" applyFont="1" applyBorder="1" applyAlignment="1">
      <alignment horizontal="center" vertical="top" wrapText="1"/>
    </xf>
    <xf numFmtId="0" fontId="8" fillId="0" borderId="12" xfId="2" applyFont="1" applyBorder="1" applyAlignment="1">
      <alignment horizontal="center" vertical="top" wrapText="1"/>
    </xf>
    <xf numFmtId="0" fontId="8" fillId="0" borderId="6" xfId="2" applyFont="1" applyBorder="1" applyAlignment="1">
      <alignment horizontal="left" vertical="top"/>
    </xf>
    <xf numFmtId="0" fontId="8" fillId="0" borderId="4" xfId="2" applyFont="1" applyBorder="1" applyAlignment="1">
      <alignment horizontal="left" vertical="top"/>
    </xf>
    <xf numFmtId="0" fontId="7" fillId="0" borderId="9" xfId="2" applyFont="1" applyBorder="1" applyAlignment="1">
      <alignment horizontal="left" vertical="top"/>
    </xf>
    <xf numFmtId="0" fontId="8" fillId="0" borderId="9" xfId="2" applyFont="1" applyBorder="1" applyAlignment="1">
      <alignment horizontal="left" vertical="top"/>
    </xf>
    <xf numFmtId="0" fontId="8" fillId="0" borderId="7" xfId="2" applyFont="1" applyBorder="1" applyAlignment="1">
      <alignment horizontal="left" vertical="top"/>
    </xf>
    <xf numFmtId="0" fontId="9" fillId="0" borderId="11" xfId="2" applyFont="1" applyBorder="1" applyAlignment="1">
      <alignment horizontal="center" vertical="top" wrapText="1"/>
    </xf>
    <xf numFmtId="0" fontId="10" fillId="0" borderId="12" xfId="2" applyFont="1" applyBorder="1" applyAlignment="1">
      <alignment horizontal="center" vertical="top" wrapText="1"/>
    </xf>
    <xf numFmtId="0" fontId="10" fillId="0" borderId="1" xfId="2" applyFont="1" applyBorder="1" applyAlignment="1">
      <alignment horizontal="center" vertical="top" wrapText="1"/>
    </xf>
    <xf numFmtId="0" fontId="10" fillId="0" borderId="10" xfId="2" applyFont="1" applyBorder="1" applyAlignment="1">
      <alignment horizontal="center" vertical="top" wrapText="1"/>
    </xf>
    <xf numFmtId="0" fontId="9" fillId="0" borderId="6" xfId="2" applyFont="1" applyBorder="1" applyAlignment="1">
      <alignment horizontal="left" vertical="top" wrapText="1"/>
    </xf>
    <xf numFmtId="0" fontId="9" fillId="0" borderId="7" xfId="2" applyFont="1" applyBorder="1" applyAlignment="1">
      <alignment horizontal="left" vertical="top" wrapText="1"/>
    </xf>
    <xf numFmtId="17" fontId="10" fillId="0" borderId="7" xfId="2" applyNumberFormat="1" applyFont="1" applyBorder="1" applyAlignment="1">
      <alignment horizontal="left" vertical="top" wrapText="1"/>
    </xf>
    <xf numFmtId="0" fontId="10" fillId="0" borderId="7" xfId="2" applyFont="1" applyBorder="1" applyAlignment="1">
      <alignment horizontal="left" vertical="top" wrapText="1"/>
    </xf>
    <xf numFmtId="0" fontId="10" fillId="0" borderId="8" xfId="2" applyFont="1" applyBorder="1" applyAlignment="1">
      <alignment horizontal="left" vertical="top" wrapText="1"/>
    </xf>
    <xf numFmtId="0" fontId="9" fillId="0" borderId="6" xfId="2" applyFont="1" applyBorder="1" applyAlignment="1">
      <alignment horizontal="center" vertical="top" wrapText="1"/>
    </xf>
    <xf numFmtId="0" fontId="10" fillId="0" borderId="7" xfId="2" applyFont="1" applyBorder="1" applyAlignment="1">
      <alignment horizontal="center" vertical="top" wrapText="1"/>
    </xf>
    <xf numFmtId="0" fontId="10" fillId="0" borderId="8" xfId="2" applyFont="1" applyBorder="1" applyAlignment="1">
      <alignment horizontal="center" vertical="top" wrapText="1"/>
    </xf>
    <xf numFmtId="0" fontId="11" fillId="0" borderId="6" xfId="2" applyFont="1" applyBorder="1" applyAlignment="1">
      <alignment horizontal="center" vertical="top" wrapText="1"/>
    </xf>
    <xf numFmtId="0" fontId="6" fillId="0" borderId="7" xfId="2" applyFont="1" applyBorder="1" applyAlignment="1">
      <alignment horizontal="center" vertical="top" wrapText="1"/>
    </xf>
    <xf numFmtId="0" fontId="6" fillId="0" borderId="8" xfId="2" applyFont="1" applyBorder="1" applyAlignment="1">
      <alignment horizontal="center" vertical="top" wrapText="1"/>
    </xf>
    <xf numFmtId="0" fontId="11" fillId="2" borderId="11" xfId="2" applyFont="1" applyFill="1" applyBorder="1" applyAlignment="1">
      <alignment horizontal="left" vertical="top"/>
    </xf>
    <xf numFmtId="0" fontId="6" fillId="2" borderId="12" xfId="2" applyFont="1" applyFill="1" applyBorder="1" applyAlignment="1">
      <alignment horizontal="center" vertical="top" wrapText="1"/>
    </xf>
    <xf numFmtId="0" fontId="6" fillId="2" borderId="14" xfId="2" applyFont="1" applyFill="1" applyBorder="1" applyAlignment="1">
      <alignment horizontal="center" vertical="top" wrapText="1"/>
    </xf>
    <xf numFmtId="164" fontId="6" fillId="2" borderId="2" xfId="2" applyNumberFormat="1" applyFont="1" applyFill="1" applyBorder="1" applyAlignment="1">
      <alignment horizontal="right" vertical="top" wrapText="1"/>
    </xf>
    <xf numFmtId="164" fontId="11" fillId="2" borderId="8" xfId="2" applyNumberFormat="1" applyFont="1" applyFill="1" applyBorder="1" applyAlignment="1">
      <alignment horizontal="right" vertical="top" wrapText="1"/>
    </xf>
    <xf numFmtId="0" fontId="11" fillId="3" borderId="11" xfId="2" applyFont="1" applyFill="1" applyBorder="1" applyAlignment="1">
      <alignment horizontal="left" vertical="top"/>
    </xf>
    <xf numFmtId="0" fontId="6" fillId="3" borderId="12" xfId="2" applyFont="1" applyFill="1" applyBorder="1" applyAlignment="1">
      <alignment horizontal="center" vertical="top" wrapText="1"/>
    </xf>
    <xf numFmtId="164" fontId="11" fillId="3" borderId="2" xfId="2" applyNumberFormat="1" applyFont="1" applyFill="1" applyBorder="1" applyAlignment="1">
      <alignment horizontal="right" vertical="top" wrapText="1"/>
    </xf>
    <xf numFmtId="0" fontId="7" fillId="0" borderId="0" xfId="2" applyFont="1"/>
    <xf numFmtId="0" fontId="12" fillId="0" borderId="0" xfId="2" applyFont="1"/>
    <xf numFmtId="0" fontId="15" fillId="0" borderId="0" xfId="3" applyFont="1"/>
    <xf numFmtId="0" fontId="10" fillId="0" borderId="0" xfId="3" applyFont="1"/>
    <xf numFmtId="0" fontId="16" fillId="0" borderId="0" xfId="3" applyFont="1"/>
    <xf numFmtId="4" fontId="16" fillId="0" borderId="0" xfId="3" applyNumberFormat="1" applyFont="1"/>
    <xf numFmtId="0" fontId="6" fillId="0" borderId="0" xfId="3" applyFont="1"/>
    <xf numFmtId="0" fontId="14" fillId="0" borderId="0" xfId="3" applyFont="1"/>
    <xf numFmtId="0" fontId="8" fillId="0" borderId="17" xfId="2" applyFont="1" applyBorder="1" applyAlignment="1">
      <alignment horizontal="center" vertical="top" wrapText="1"/>
    </xf>
    <xf numFmtId="0" fontId="8" fillId="0" borderId="16" xfId="2" applyFont="1" applyBorder="1" applyAlignment="1">
      <alignment horizontal="center" vertical="top" wrapText="1"/>
    </xf>
    <xf numFmtId="0" fontId="17" fillId="0" borderId="2" xfId="3" applyFont="1" applyBorder="1" applyAlignment="1">
      <alignment horizontal="justify" vertical="top" wrapText="1"/>
    </xf>
    <xf numFmtId="0" fontId="18" fillId="0" borderId="6" xfId="3" applyFont="1" applyBorder="1" applyAlignment="1">
      <alignment horizontal="center"/>
    </xf>
    <xf numFmtId="0" fontId="18" fillId="0" borderId="7" xfId="3" applyFont="1" applyBorder="1"/>
    <xf numFmtId="4" fontId="18" fillId="0" borderId="7" xfId="3" applyNumberFormat="1" applyFont="1" applyBorder="1"/>
    <xf numFmtId="4" fontId="18" fillId="0" borderId="8" xfId="3" applyNumberFormat="1" applyFont="1" applyBorder="1"/>
    <xf numFmtId="0" fontId="18" fillId="0" borderId="4" xfId="3" applyFont="1" applyBorder="1" applyAlignment="1">
      <alignment horizontal="center"/>
    </xf>
    <xf numFmtId="4" fontId="18" fillId="0" borderId="5" xfId="3" applyNumberFormat="1" applyFont="1" applyBorder="1"/>
    <xf numFmtId="0" fontId="17" fillId="0" borderId="2" xfId="3" applyFont="1" applyBorder="1" applyAlignment="1">
      <alignment horizontal="center" wrapText="1"/>
    </xf>
    <xf numFmtId="4" fontId="17" fillId="0" borderId="2" xfId="3" applyNumberFormat="1" applyFont="1" applyBorder="1" applyAlignment="1">
      <alignment horizontal="right"/>
    </xf>
    <xf numFmtId="4" fontId="17" fillId="0" borderId="2" xfId="3" applyNumberFormat="1" applyFont="1" applyBorder="1" applyAlignment="1">
      <alignment horizontal="right" wrapText="1"/>
    </xf>
    <xf numFmtId="0" fontId="20" fillId="0" borderId="7" xfId="3" applyFont="1" applyBorder="1" applyAlignment="1">
      <alignment horizontal="justify" vertical="top" wrapText="1"/>
    </xf>
    <xf numFmtId="0" fontId="20" fillId="0" borderId="0" xfId="3" applyFont="1" applyAlignment="1">
      <alignment horizontal="justify" vertical="top" wrapText="1"/>
    </xf>
    <xf numFmtId="0" fontId="18" fillId="0" borderId="0" xfId="3" applyFont="1"/>
    <xf numFmtId="4" fontId="18" fillId="0" borderId="0" xfId="3" applyNumberFormat="1" applyFont="1"/>
    <xf numFmtId="0" fontId="19" fillId="0" borderId="2" xfId="3" applyFont="1" applyBorder="1" applyAlignment="1">
      <alignment horizontal="justify" vertical="top" wrapText="1"/>
    </xf>
    <xf numFmtId="0" fontId="6" fillId="0" borderId="7" xfId="2" applyFont="1" applyBorder="1" applyAlignment="1">
      <alignment horizontal="left" vertical="top" wrapText="1"/>
    </xf>
    <xf numFmtId="4" fontId="6" fillId="0" borderId="8" xfId="2" applyNumberFormat="1" applyFont="1" applyBorder="1" applyAlignment="1">
      <alignment horizontal="right" vertical="top" wrapText="1"/>
    </xf>
    <xf numFmtId="0" fontId="22" fillId="2" borderId="11" xfId="3" applyFont="1" applyFill="1" applyBorder="1" applyAlignment="1">
      <alignment horizontal="justify" vertical="justify"/>
    </xf>
    <xf numFmtId="4" fontId="14" fillId="2" borderId="14" xfId="3" applyNumberFormat="1" applyFont="1" applyFill="1" applyBorder="1"/>
    <xf numFmtId="0" fontId="24" fillId="0" borderId="0" xfId="3" applyFont="1"/>
    <xf numFmtId="4" fontId="19" fillId="2" borderId="14" xfId="3" applyNumberFormat="1" applyFont="1" applyFill="1" applyBorder="1" applyAlignment="1">
      <alignment wrapText="1"/>
    </xf>
    <xf numFmtId="0" fontId="19" fillId="0" borderId="15" xfId="3" quotePrefix="1" applyFont="1" applyBorder="1" applyAlignment="1">
      <alignment horizontal="center" vertical="top"/>
    </xf>
    <xf numFmtId="0" fontId="19" fillId="0" borderId="2" xfId="3" applyFont="1" applyBorder="1" applyAlignment="1">
      <alignment horizontal="center" wrapText="1"/>
    </xf>
    <xf numFmtId="4" fontId="19" fillId="0" borderId="2" xfId="3" applyNumberFormat="1" applyFont="1" applyBorder="1" applyAlignment="1">
      <alignment horizontal="right"/>
    </xf>
    <xf numFmtId="4" fontId="19" fillId="0" borderId="2" xfId="3" applyNumberFormat="1" applyFont="1" applyBorder="1" applyAlignment="1">
      <alignment horizontal="right" wrapText="1"/>
    </xf>
    <xf numFmtId="0" fontId="10" fillId="0" borderId="0" xfId="3" applyFont="1" applyAlignment="1">
      <alignment horizontal="center" vertical="center"/>
    </xf>
    <xf numFmtId="0" fontId="21" fillId="0" borderId="0" xfId="3" applyFont="1"/>
    <xf numFmtId="0" fontId="16" fillId="0" borderId="0" xfId="3" applyFont="1" applyAlignment="1">
      <alignment horizontal="center"/>
    </xf>
    <xf numFmtId="0" fontId="16" fillId="0" borderId="0" xfId="3" applyFont="1" applyAlignment="1">
      <alignment horizontal="justify" vertical="top" wrapText="1"/>
    </xf>
    <xf numFmtId="0" fontId="7" fillId="0" borderId="18" xfId="2" applyFont="1" applyBorder="1" applyAlignment="1">
      <alignment horizontal="center" vertical="top" wrapText="1"/>
    </xf>
    <xf numFmtId="0" fontId="7" fillId="0" borderId="12" xfId="2" applyFont="1" applyBorder="1" applyAlignment="1">
      <alignment horizontal="left" vertical="top"/>
    </xf>
    <xf numFmtId="0" fontId="7" fillId="0" borderId="7" xfId="2" applyFont="1" applyBorder="1" applyAlignment="1">
      <alignment horizontal="left" vertical="top"/>
    </xf>
    <xf numFmtId="0" fontId="11" fillId="2" borderId="11" xfId="2" applyFont="1" applyFill="1" applyBorder="1" applyAlignment="1">
      <alignment horizontal="left" vertical="top" wrapText="1"/>
    </xf>
    <xf numFmtId="0" fontId="11" fillId="2" borderId="12" xfId="2" applyFont="1" applyFill="1" applyBorder="1" applyAlignment="1">
      <alignment horizontal="left" vertical="top"/>
    </xf>
    <xf numFmtId="16" fontId="19" fillId="2" borderId="11" xfId="3" quotePrefix="1" applyNumberFormat="1" applyFont="1" applyFill="1" applyBorder="1" applyAlignment="1">
      <alignment horizontal="center" vertical="top"/>
    </xf>
    <xf numFmtId="0" fontId="27" fillId="2" borderId="12" xfId="3" applyFont="1" applyFill="1" applyBorder="1" applyAlignment="1">
      <alignment horizontal="justify" vertical="top" wrapText="1"/>
    </xf>
    <xf numFmtId="0" fontId="19" fillId="2" borderId="12" xfId="3" applyFont="1" applyFill="1" applyBorder="1" applyAlignment="1">
      <alignment horizontal="center" wrapText="1"/>
    </xf>
    <xf numFmtId="4" fontId="19" fillId="2" borderId="12" xfId="3" applyNumberFormat="1" applyFont="1" applyFill="1" applyBorder="1" applyAlignment="1">
      <alignment wrapText="1"/>
    </xf>
    <xf numFmtId="0" fontId="17" fillId="0" borderId="15" xfId="3" quotePrefix="1" applyFont="1" applyBorder="1" applyAlignment="1">
      <alignment horizontal="center" vertical="top"/>
    </xf>
    <xf numFmtId="0" fontId="28" fillId="0" borderId="2" xfId="3" applyFont="1" applyBorder="1" applyAlignment="1">
      <alignment horizontal="center" wrapText="1"/>
    </xf>
    <xf numFmtId="0" fontId="17" fillId="0" borderId="2" xfId="3" quotePrefix="1" applyFont="1" applyBorder="1" applyAlignment="1">
      <alignment horizontal="center" vertical="top"/>
    </xf>
    <xf numFmtId="4" fontId="27" fillId="4" borderId="11" xfId="3" applyNumberFormat="1" applyFont="1" applyFill="1" applyBorder="1" applyAlignment="1">
      <alignment horizontal="left" vertical="top" wrapText="1"/>
    </xf>
    <xf numFmtId="4" fontId="27" fillId="4" borderId="12" xfId="3" applyNumberFormat="1" applyFont="1" applyFill="1" applyBorder="1" applyAlignment="1">
      <alignment horizontal="left" vertical="top" wrapText="1"/>
    </xf>
    <xf numFmtId="4" fontId="19" fillId="4" borderId="12" xfId="3" applyNumberFormat="1" applyFont="1" applyFill="1" applyBorder="1" applyAlignment="1">
      <alignment horizontal="left" vertical="top"/>
    </xf>
    <xf numFmtId="4" fontId="27" fillId="4" borderId="14" xfId="3" applyNumberFormat="1" applyFont="1" applyFill="1" applyBorder="1" applyAlignment="1">
      <alignment horizontal="right" vertical="top" wrapText="1"/>
    </xf>
    <xf numFmtId="0" fontId="19" fillId="0" borderId="2" xfId="3" applyFont="1" applyBorder="1" applyAlignment="1">
      <alignment horizontal="justify" vertical="top"/>
    </xf>
    <xf numFmtId="0" fontId="19" fillId="0" borderId="2" xfId="3" quotePrefix="1" applyFont="1" applyBorder="1" applyAlignment="1">
      <alignment horizontal="center" vertical="top"/>
    </xf>
    <xf numFmtId="0" fontId="6" fillId="0" borderId="7" xfId="2" applyFont="1" applyBorder="1" applyAlignment="1">
      <alignment horizontal="left" vertical="top"/>
    </xf>
    <xf numFmtId="0" fontId="29" fillId="0" borderId="4" xfId="3" applyFont="1" applyBorder="1" applyAlignment="1">
      <alignment horizontal="center"/>
    </xf>
    <xf numFmtId="0" fontId="29" fillId="0" borderId="1" xfId="3" applyFont="1" applyBorder="1" applyAlignment="1">
      <alignment horizontal="justify" vertical="top" wrapText="1"/>
    </xf>
    <xf numFmtId="0" fontId="29" fillId="0" borderId="0" xfId="3" applyFont="1"/>
    <xf numFmtId="4" fontId="29" fillId="0" borderId="0" xfId="3" applyNumberFormat="1" applyFont="1"/>
    <xf numFmtId="4" fontId="29" fillId="0" borderId="5" xfId="3" applyNumberFormat="1" applyFont="1" applyBorder="1"/>
    <xf numFmtId="0" fontId="30" fillId="0" borderId="11" xfId="3" applyFont="1" applyBorder="1" applyAlignment="1">
      <alignment horizontal="center" vertical="top"/>
    </xf>
    <xf numFmtId="0" fontId="30" fillId="0" borderId="12" xfId="3" applyFont="1" applyBorder="1" applyAlignment="1">
      <alignment horizontal="justify" vertical="top" wrapText="1"/>
    </xf>
    <xf numFmtId="0" fontId="30" fillId="0" borderId="12" xfId="3" applyFont="1" applyBorder="1" applyAlignment="1">
      <alignment horizontal="center" wrapText="1"/>
    </xf>
    <xf numFmtId="4" fontId="30" fillId="0" borderId="12" xfId="3" applyNumberFormat="1" applyFont="1" applyBorder="1" applyAlignment="1">
      <alignment horizontal="right" wrapText="1"/>
    </xf>
    <xf numFmtId="4" fontId="30" fillId="0" borderId="14" xfId="3" applyNumberFormat="1" applyFont="1" applyBorder="1" applyAlignment="1">
      <alignment horizontal="right" wrapText="1"/>
    </xf>
    <xf numFmtId="0" fontId="2" fillId="0" borderId="2" xfId="0" applyFont="1" applyBorder="1" applyAlignment="1">
      <alignment wrapText="1"/>
    </xf>
    <xf numFmtId="0" fontId="2" fillId="0" borderId="2" xfId="0" applyFont="1" applyBorder="1" applyAlignment="1">
      <alignment horizontal="center" vertical="center" wrapText="1"/>
    </xf>
    <xf numFmtId="16" fontId="17" fillId="2" borderId="11" xfId="3" quotePrefix="1" applyNumberFormat="1" applyFont="1" applyFill="1" applyBorder="1" applyAlignment="1">
      <alignment horizontal="center" vertical="top"/>
    </xf>
    <xf numFmtId="0" fontId="31" fillId="2" borderId="12" xfId="3" applyFont="1" applyFill="1" applyBorder="1" applyAlignment="1">
      <alignment horizontal="justify" vertical="top"/>
    </xf>
    <xf numFmtId="0" fontId="17" fillId="2" borderId="12" xfId="3" applyFont="1" applyFill="1" applyBorder="1" applyAlignment="1">
      <alignment horizontal="center" wrapText="1"/>
    </xf>
    <xf numFmtId="4" fontId="17" fillId="2" borderId="12" xfId="3" applyNumberFormat="1" applyFont="1" applyFill="1" applyBorder="1" applyAlignment="1">
      <alignment wrapText="1"/>
    </xf>
    <xf numFmtId="4" fontId="17" fillId="2" borderId="14" xfId="3" applyNumberFormat="1" applyFont="1" applyFill="1" applyBorder="1" applyAlignment="1">
      <alignment wrapText="1"/>
    </xf>
    <xf numFmtId="0" fontId="20" fillId="0" borderId="1" xfId="3" applyFont="1" applyBorder="1" applyAlignment="1">
      <alignment horizontal="justify" vertical="top" wrapText="1"/>
    </xf>
    <xf numFmtId="0" fontId="32" fillId="0" borderId="11" xfId="3" applyFont="1" applyBorder="1" applyAlignment="1">
      <alignment horizontal="center" vertical="top"/>
    </xf>
    <xf numFmtId="0" fontId="32" fillId="0" borderId="12" xfId="3" applyFont="1" applyBorder="1" applyAlignment="1">
      <alignment horizontal="justify" vertical="top" wrapText="1"/>
    </xf>
    <xf numFmtId="0" fontId="32" fillId="0" borderId="12" xfId="3" applyFont="1" applyBorder="1" applyAlignment="1">
      <alignment horizontal="center" wrapText="1"/>
    </xf>
    <xf numFmtId="4" fontId="32" fillId="0" borderId="12" xfId="3" applyNumberFormat="1" applyFont="1" applyBorder="1" applyAlignment="1">
      <alignment horizontal="right" wrapText="1"/>
    </xf>
    <xf numFmtId="4" fontId="32" fillId="0" borderId="14" xfId="3" applyNumberFormat="1" applyFont="1" applyBorder="1" applyAlignment="1">
      <alignment horizontal="right" wrapText="1"/>
    </xf>
    <xf numFmtId="16" fontId="6" fillId="2" borderId="11" xfId="3" quotePrefix="1" applyNumberFormat="1" applyFont="1" applyFill="1" applyBorder="1" applyAlignment="1">
      <alignment horizontal="center" vertical="top"/>
    </xf>
    <xf numFmtId="0" fontId="11" fillId="2" borderId="12" xfId="3" applyFont="1" applyFill="1" applyBorder="1" applyAlignment="1">
      <alignment horizontal="justify" vertical="top" wrapText="1"/>
    </xf>
    <xf numFmtId="0" fontId="6" fillId="2" borderId="12" xfId="3" applyFont="1" applyFill="1" applyBorder="1" applyAlignment="1">
      <alignment horizontal="center" wrapText="1"/>
    </xf>
    <xf numFmtId="4" fontId="6" fillId="2" borderId="12" xfId="3" applyNumberFormat="1" applyFont="1" applyFill="1" applyBorder="1" applyAlignment="1">
      <alignment wrapText="1"/>
    </xf>
    <xf numFmtId="0" fontId="1" fillId="0" borderId="2" xfId="0" applyFont="1" applyBorder="1" applyAlignment="1">
      <alignment wrapText="1"/>
    </xf>
    <xf numFmtId="0" fontId="1" fillId="0" borderId="2" xfId="0" applyFont="1" applyBorder="1" applyAlignment="1">
      <alignment horizontal="center" vertical="center" wrapText="1"/>
    </xf>
    <xf numFmtId="0" fontId="11" fillId="2" borderId="12" xfId="3" applyFont="1" applyFill="1" applyBorder="1" applyAlignment="1">
      <alignment horizontal="justify" vertical="top"/>
    </xf>
    <xf numFmtId="4" fontId="6" fillId="2" borderId="14" xfId="3" applyNumberFormat="1" applyFont="1" applyFill="1" applyBorder="1" applyAlignment="1">
      <alignment wrapText="1"/>
    </xf>
    <xf numFmtId="0" fontId="6" fillId="0" borderId="2" xfId="3" quotePrefix="1" applyFont="1" applyBorder="1" applyAlignment="1">
      <alignment horizontal="center" vertical="top"/>
    </xf>
    <xf numFmtId="0" fontId="33" fillId="2" borderId="11" xfId="3" applyFont="1" applyFill="1" applyBorder="1" applyAlignment="1">
      <alignment horizontal="justify" vertical="justify"/>
    </xf>
    <xf numFmtId="0" fontId="34" fillId="2" borderId="12" xfId="3" applyFont="1" applyFill="1" applyBorder="1" applyAlignment="1">
      <alignment horizontal="justify" vertical="top"/>
    </xf>
    <xf numFmtId="0" fontId="35" fillId="2" borderId="12" xfId="3" applyFont="1" applyFill="1" applyBorder="1"/>
    <xf numFmtId="4" fontId="35" fillId="2" borderId="12" xfId="3" applyNumberFormat="1" applyFont="1" applyFill="1" applyBorder="1"/>
    <xf numFmtId="4" fontId="35" fillId="2" borderId="14" xfId="3" applyNumberFormat="1" applyFont="1" applyFill="1" applyBorder="1"/>
    <xf numFmtId="0" fontId="20" fillId="0" borderId="6" xfId="3" applyFont="1" applyBorder="1" applyAlignment="1">
      <alignment horizontal="center"/>
    </xf>
    <xf numFmtId="0" fontId="20" fillId="0" borderId="7" xfId="3" applyFont="1" applyBorder="1"/>
    <xf numFmtId="4" fontId="20" fillId="0" borderId="7" xfId="3" applyNumberFormat="1" applyFont="1" applyBorder="1"/>
    <xf numFmtId="4" fontId="20" fillId="0" borderId="8" xfId="3" applyNumberFormat="1" applyFont="1" applyBorder="1"/>
    <xf numFmtId="0" fontId="20" fillId="0" borderId="4" xfId="3" applyFont="1" applyBorder="1" applyAlignment="1">
      <alignment horizontal="center"/>
    </xf>
    <xf numFmtId="0" fontId="20" fillId="0" borderId="0" xfId="3" applyFont="1"/>
    <xf numFmtId="4" fontId="20" fillId="0" borderId="0" xfId="3" applyNumberFormat="1" applyFont="1"/>
    <xf numFmtId="4" fontId="20" fillId="0" borderId="5" xfId="3" applyNumberFormat="1" applyFont="1" applyBorder="1"/>
    <xf numFmtId="0" fontId="36" fillId="0" borderId="11" xfId="3" applyFont="1" applyBorder="1" applyAlignment="1">
      <alignment horizontal="center" vertical="top"/>
    </xf>
    <xf numFmtId="0" fontId="36" fillId="0" borderId="12" xfId="3" applyFont="1" applyBorder="1" applyAlignment="1">
      <alignment horizontal="justify" vertical="top" wrapText="1"/>
    </xf>
    <xf numFmtId="0" fontId="36" fillId="0" borderId="12" xfId="3" applyFont="1" applyBorder="1" applyAlignment="1">
      <alignment horizontal="center" wrapText="1"/>
    </xf>
    <xf numFmtId="4" fontId="36" fillId="0" borderId="12" xfId="3" applyNumberFormat="1" applyFont="1" applyBorder="1" applyAlignment="1">
      <alignment horizontal="right" wrapText="1"/>
    </xf>
    <xf numFmtId="4" fontId="36" fillId="0" borderId="14" xfId="3" applyNumberFormat="1" applyFont="1" applyBorder="1" applyAlignment="1">
      <alignment horizontal="right" wrapText="1"/>
    </xf>
    <xf numFmtId="0" fontId="31" fillId="2" borderId="12" xfId="3" applyFont="1" applyFill="1" applyBorder="1" applyAlignment="1">
      <alignment horizontal="justify" vertical="top" wrapText="1"/>
    </xf>
    <xf numFmtId="4" fontId="6" fillId="0" borderId="0" xfId="3" applyNumberFormat="1" applyFont="1"/>
    <xf numFmtId="0" fontId="6" fillId="0" borderId="2" xfId="3" applyFont="1" applyBorder="1" applyAlignment="1">
      <alignment horizontal="center" wrapText="1"/>
    </xf>
    <xf numFmtId="4" fontId="21" fillId="0" borderId="2" xfId="3" applyNumberFormat="1" applyFont="1" applyBorder="1" applyAlignment="1">
      <alignment horizontal="right"/>
    </xf>
    <xf numFmtId="4" fontId="21" fillId="0" borderId="2" xfId="3" applyNumberFormat="1" applyFont="1" applyBorder="1" applyAlignment="1">
      <alignment horizontal="right" wrapText="1"/>
    </xf>
    <xf numFmtId="0" fontId="21" fillId="0" borderId="2" xfId="3" applyFont="1" applyBorder="1" applyAlignment="1">
      <alignment horizontal="left" vertical="top" wrapText="1"/>
    </xf>
    <xf numFmtId="0" fontId="37" fillId="0" borderId="15" xfId="4" quotePrefix="1" applyFont="1" applyBorder="1" applyAlignment="1">
      <alignment horizontal="center" vertical="top"/>
    </xf>
    <xf numFmtId="0" fontId="29" fillId="0" borderId="7" xfId="4" applyFont="1" applyBorder="1" applyAlignment="1">
      <alignment horizontal="justify" vertical="top" wrapText="1"/>
    </xf>
    <xf numFmtId="0" fontId="37" fillId="0" borderId="2" xfId="4" applyFont="1" applyBorder="1" applyAlignment="1">
      <alignment horizontal="center" wrapText="1"/>
    </xf>
    <xf numFmtId="4" fontId="37" fillId="0" borderId="2" xfId="4" applyNumberFormat="1" applyFont="1" applyBorder="1" applyAlignment="1">
      <alignment horizontal="right"/>
    </xf>
    <xf numFmtId="4" fontId="37" fillId="0" borderId="2" xfId="4" applyNumberFormat="1" applyFont="1" applyBorder="1" applyAlignment="1">
      <alignment horizontal="right" wrapText="1"/>
    </xf>
    <xf numFmtId="0" fontId="38" fillId="0" borderId="0" xfId="3" applyFont="1"/>
    <xf numFmtId="0" fontId="21" fillId="0" borderId="2" xfId="3" applyFont="1" applyBorder="1" applyAlignment="1">
      <alignment horizontal="justify" vertical="top" wrapText="1"/>
    </xf>
    <xf numFmtId="16" fontId="17" fillId="0" borderId="9" xfId="3" quotePrefix="1" applyNumberFormat="1" applyFont="1" applyBorder="1" applyAlignment="1">
      <alignment horizontal="center" vertical="top"/>
    </xf>
    <xf numFmtId="0" fontId="20" fillId="0" borderId="19" xfId="3" applyFont="1" applyBorder="1" applyAlignment="1">
      <alignment horizontal="justify" vertical="top" wrapText="1"/>
    </xf>
    <xf numFmtId="0" fontId="39" fillId="0" borderId="0" xfId="0" applyFont="1" applyAlignment="1" applyProtection="1">
      <alignment vertical="top" wrapText="1" readingOrder="1"/>
      <protection locked="0"/>
    </xf>
    <xf numFmtId="4" fontId="17" fillId="0" borderId="12" xfId="3" applyNumberFormat="1" applyFont="1" applyBorder="1" applyAlignment="1">
      <alignment wrapText="1"/>
    </xf>
    <xf numFmtId="4" fontId="17" fillId="0" borderId="14" xfId="3" applyNumberFormat="1" applyFont="1" applyBorder="1" applyAlignment="1">
      <alignment wrapText="1"/>
    </xf>
    <xf numFmtId="0" fontId="40" fillId="0" borderId="0" xfId="3" applyFont="1"/>
    <xf numFmtId="0" fontId="1" fillId="0" borderId="2" xfId="0" applyFont="1" applyBorder="1" applyAlignment="1">
      <alignment horizontal="center"/>
    </xf>
    <xf numFmtId="2" fontId="1" fillId="0" borderId="2" xfId="0" applyNumberFormat="1" applyFont="1" applyBorder="1" applyAlignment="1">
      <alignment horizontal="right"/>
    </xf>
    <xf numFmtId="165" fontId="1" fillId="0" borderId="2" xfId="0" applyNumberFormat="1" applyFont="1" applyBorder="1" applyAlignment="1">
      <alignment horizontal="right"/>
    </xf>
    <xf numFmtId="4" fontId="6" fillId="0" borderId="2" xfId="3" applyNumberFormat="1" applyFont="1" applyBorder="1" applyAlignment="1">
      <alignment horizontal="right"/>
    </xf>
    <xf numFmtId="4" fontId="42" fillId="0" borderId="0" xfId="3" applyNumberFormat="1" applyFont="1"/>
    <xf numFmtId="0" fontId="10" fillId="5" borderId="0" xfId="3" applyFont="1" applyFill="1"/>
    <xf numFmtId="0" fontId="21" fillId="0" borderId="2" xfId="3" applyFont="1" applyBorder="1" applyAlignment="1">
      <alignment horizontal="center" wrapText="1"/>
    </xf>
    <xf numFmtId="4" fontId="31" fillId="4" borderId="11" xfId="3" applyNumberFormat="1" applyFont="1" applyFill="1" applyBorder="1" applyAlignment="1">
      <alignment horizontal="left" vertical="top" wrapText="1"/>
    </xf>
    <xf numFmtId="4" fontId="31" fillId="4" borderId="12" xfId="3" applyNumberFormat="1" applyFont="1" applyFill="1" applyBorder="1" applyAlignment="1">
      <alignment horizontal="left" vertical="top" wrapText="1"/>
    </xf>
    <xf numFmtId="4" fontId="17" fillId="4" borderId="12" xfId="3" applyNumberFormat="1" applyFont="1" applyFill="1" applyBorder="1" applyAlignment="1">
      <alignment horizontal="left" vertical="top"/>
    </xf>
    <xf numFmtId="4" fontId="31" fillId="4" borderId="14" xfId="3" applyNumberFormat="1" applyFont="1" applyFill="1" applyBorder="1" applyAlignment="1">
      <alignment horizontal="right" vertical="top" wrapText="1"/>
    </xf>
    <xf numFmtId="0" fontId="43" fillId="0" borderId="0" xfId="3" applyFont="1" applyAlignment="1">
      <alignment horizontal="center"/>
    </xf>
    <xf numFmtId="0" fontId="43" fillId="0" borderId="0" xfId="3" applyFont="1" applyAlignment="1">
      <alignment horizontal="justify" vertical="top" wrapText="1"/>
    </xf>
    <xf numFmtId="0" fontId="43" fillId="0" borderId="0" xfId="3" applyFont="1"/>
    <xf numFmtId="4" fontId="43" fillId="0" borderId="0" xfId="3" applyNumberFormat="1" applyFont="1"/>
    <xf numFmtId="0" fontId="25" fillId="2" borderId="2" xfId="2" applyFont="1" applyFill="1" applyBorder="1" applyAlignment="1">
      <alignment horizontal="center" vertical="center" wrapText="1"/>
    </xf>
    <xf numFmtId="0" fontId="25" fillId="2" borderId="3" xfId="2" applyFont="1" applyFill="1" applyBorder="1" applyAlignment="1">
      <alignment horizontal="center" vertical="center" wrapText="1"/>
    </xf>
    <xf numFmtId="0" fontId="26" fillId="0" borderId="11" xfId="2" applyFont="1" applyBorder="1" applyAlignment="1">
      <alignment horizontal="left" vertical="top" wrapText="1"/>
    </xf>
    <xf numFmtId="0" fontId="26" fillId="0" borderId="12" xfId="2" applyFont="1" applyBorder="1" applyAlignment="1">
      <alignment horizontal="left" vertical="top" wrapText="1"/>
    </xf>
    <xf numFmtId="0" fontId="11" fillId="0" borderId="2" xfId="2" applyFont="1" applyBorder="1" applyAlignment="1">
      <alignment horizontal="left" vertical="top" wrapText="1"/>
    </xf>
    <xf numFmtId="17" fontId="6" fillId="0" borderId="2" xfId="2" quotePrefix="1" applyNumberFormat="1" applyFont="1" applyBorder="1" applyAlignment="1">
      <alignment horizontal="left" vertical="top" wrapText="1"/>
    </xf>
    <xf numFmtId="0" fontId="6" fillId="0" borderId="2" xfId="2" applyFont="1" applyBorder="1" applyAlignment="1">
      <alignment horizontal="left" vertical="top" wrapText="1"/>
    </xf>
    <xf numFmtId="0" fontId="11" fillId="3" borderId="13" xfId="2" applyFont="1" applyFill="1" applyBorder="1" applyAlignment="1">
      <alignment horizontal="center" vertical="top" wrapText="1"/>
    </xf>
    <xf numFmtId="0" fontId="11" fillId="3" borderId="13" xfId="2" applyFont="1" applyFill="1" applyBorder="1" applyAlignment="1">
      <alignment horizontal="center"/>
    </xf>
    <xf numFmtId="0" fontId="10" fillId="0" borderId="0" xfId="3" applyFont="1" applyAlignment="1">
      <alignment horizontal="center" vertical="center"/>
    </xf>
    <xf numFmtId="0" fontId="23" fillId="2" borderId="12" xfId="3" applyFont="1" applyFill="1" applyBorder="1" applyAlignment="1">
      <alignment horizontal="left" vertical="top"/>
    </xf>
  </cellXfs>
  <cellStyles count="5">
    <cellStyle name="Navadno" xfId="0" builtinId="0"/>
    <cellStyle name="Navadno 2" xfId="2"/>
    <cellStyle name="Navadno 2 2" xfId="3"/>
    <cellStyle name="Navadno 2 2 2" xfId="4"/>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CDCDC"/>
      <rgbColor rgb="00808080"/>
      <rgbColor rgb="00696969"/>
      <rgbColor rgb="00FFFFFF"/>
      <rgbColor rgb="00FFFF00"/>
      <rgbColor rgb="00FF00FF"/>
      <rgbColor rgb="0000FFFF"/>
      <rgbColor rgb="00800000"/>
      <rgbColor rgb="00008000"/>
      <rgbColor rgb="00000080"/>
      <rgbColor rgb="00808000"/>
      <rgbColor rgb="00800080"/>
      <rgbColor rgb="00008080"/>
      <rgbColor rgb="00C0C0C0"/>
      <rgbColor rgb="00FF00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Normal="100" zoomScaleSheetLayoutView="100" workbookViewId="0">
      <selection activeCell="F27" sqref="F27"/>
    </sheetView>
  </sheetViews>
  <sheetFormatPr defaultColWidth="8.7109375" defaultRowHeight="15.75"/>
  <cols>
    <col min="1" max="1" width="12.140625" style="41" customWidth="1"/>
    <col min="2" max="2" width="20.42578125" style="42" customWidth="1"/>
    <col min="3" max="4" width="8.7109375" style="42"/>
    <col min="5" max="5" width="18.140625" style="42" customWidth="1"/>
    <col min="6" max="6" width="34.7109375" style="42" customWidth="1"/>
    <col min="7" max="16384" width="8.7109375" style="1"/>
  </cols>
  <sheetData>
    <row r="1" spans="1:6" ht="14.45" customHeight="1">
      <c r="A1" s="183" t="s">
        <v>22</v>
      </c>
      <c r="B1" s="183"/>
      <c r="C1" s="183"/>
      <c r="D1" s="183"/>
      <c r="E1" s="183"/>
      <c r="F1" s="183"/>
    </row>
    <row r="2" spans="1:6" ht="14.45" customHeight="1">
      <c r="A2" s="183"/>
      <c r="B2" s="183"/>
      <c r="C2" s="183"/>
      <c r="D2" s="183"/>
      <c r="E2" s="183"/>
      <c r="F2" s="183"/>
    </row>
    <row r="3" spans="1:6" ht="15" customHeight="1" thickBot="1">
      <c r="A3" s="184"/>
      <c r="B3" s="184"/>
      <c r="C3" s="184"/>
      <c r="D3" s="184"/>
      <c r="E3" s="184"/>
      <c r="F3" s="184"/>
    </row>
    <row r="4" spans="1:6">
      <c r="A4" s="80"/>
      <c r="B4" s="49"/>
      <c r="C4" s="49"/>
      <c r="D4" s="49"/>
      <c r="E4" s="49"/>
      <c r="F4" s="50"/>
    </row>
    <row r="5" spans="1:6" ht="85.5" customHeight="1">
      <c r="A5" s="81" t="s">
        <v>48</v>
      </c>
      <c r="B5" s="12"/>
      <c r="C5" s="185" t="s">
        <v>289</v>
      </c>
      <c r="D5" s="186"/>
      <c r="E5" s="186"/>
      <c r="F5" s="186"/>
    </row>
    <row r="6" spans="1:6">
      <c r="A6" s="2"/>
      <c r="B6" s="9"/>
      <c r="C6" s="3"/>
      <c r="D6" s="3"/>
      <c r="E6" s="3"/>
      <c r="F6" s="4"/>
    </row>
    <row r="7" spans="1:6">
      <c r="A7" s="82" t="s">
        <v>49</v>
      </c>
      <c r="B7" s="6"/>
      <c r="C7" s="13" t="s">
        <v>121</v>
      </c>
      <c r="D7" s="6"/>
      <c r="E7" s="6"/>
      <c r="F7" s="7"/>
    </row>
    <row r="8" spans="1:6">
      <c r="A8" s="8" t="s">
        <v>24</v>
      </c>
      <c r="B8" s="3"/>
      <c r="C8" s="14" t="s">
        <v>6</v>
      </c>
      <c r="D8" s="3"/>
      <c r="E8" s="3"/>
      <c r="F8" s="4"/>
    </row>
    <row r="9" spans="1:6">
      <c r="A9" s="15"/>
      <c r="B9" s="9"/>
      <c r="C9" s="16" t="s">
        <v>27</v>
      </c>
      <c r="D9" s="9"/>
      <c r="E9" s="9"/>
      <c r="F9" s="10"/>
    </row>
    <row r="10" spans="1:6">
      <c r="A10" s="11"/>
      <c r="B10" s="12"/>
      <c r="C10" s="9"/>
      <c r="D10" s="9"/>
      <c r="E10" s="9"/>
      <c r="F10" s="10"/>
    </row>
    <row r="11" spans="1:6">
      <c r="A11" s="5" t="s">
        <v>25</v>
      </c>
      <c r="B11" s="7"/>
      <c r="C11" s="17" t="s">
        <v>50</v>
      </c>
      <c r="D11" s="6"/>
      <c r="E11" s="6"/>
      <c r="F11" s="7"/>
    </row>
    <row r="12" spans="1:6">
      <c r="A12" s="11"/>
      <c r="B12" s="12"/>
      <c r="C12" s="12"/>
      <c r="D12" s="6"/>
      <c r="E12" s="6"/>
      <c r="F12" s="7"/>
    </row>
    <row r="13" spans="1:6">
      <c r="A13" s="5" t="s">
        <v>26</v>
      </c>
      <c r="B13" s="6"/>
      <c r="C13" s="14" t="s">
        <v>90</v>
      </c>
      <c r="D13" s="6"/>
      <c r="E13" s="6"/>
      <c r="F13" s="7"/>
    </row>
    <row r="14" spans="1:6">
      <c r="A14" s="8"/>
      <c r="B14" s="3"/>
      <c r="C14" s="14" t="s">
        <v>91</v>
      </c>
      <c r="D14" s="3"/>
      <c r="E14" s="3"/>
      <c r="F14" s="4"/>
    </row>
    <row r="15" spans="1:6">
      <c r="A15" s="8"/>
      <c r="B15" s="3"/>
      <c r="C15" s="16" t="s">
        <v>92</v>
      </c>
      <c r="D15" s="9"/>
      <c r="E15" s="9"/>
      <c r="F15" s="10"/>
    </row>
    <row r="16" spans="1:6" ht="15">
      <c r="A16" s="18"/>
      <c r="B16" s="19"/>
      <c r="C16" s="20"/>
      <c r="D16" s="20"/>
      <c r="E16" s="20"/>
      <c r="F16" s="21"/>
    </row>
    <row r="17" spans="1:6" ht="14.45" customHeight="1">
      <c r="A17" s="187" t="s">
        <v>7</v>
      </c>
      <c r="B17" s="187"/>
      <c r="C17" s="188" t="s">
        <v>290</v>
      </c>
      <c r="D17" s="189"/>
      <c r="E17" s="189"/>
      <c r="F17" s="189"/>
    </row>
    <row r="18" spans="1:6" ht="15">
      <c r="A18" s="22"/>
      <c r="B18" s="23"/>
      <c r="C18" s="24"/>
      <c r="D18" s="25"/>
      <c r="E18" s="25"/>
      <c r="F18" s="26"/>
    </row>
    <row r="19" spans="1:6" thickBot="1">
      <c r="A19" s="27"/>
      <c r="B19" s="28"/>
      <c r="C19" s="28"/>
      <c r="D19" s="28"/>
      <c r="E19" s="28"/>
      <c r="F19" s="29"/>
    </row>
    <row r="20" spans="1:6" ht="14.45" customHeight="1">
      <c r="A20" s="190" t="str">
        <f>"SKUPNA REKAPITULACIJA ZAMENJAVE PREPUSTOV"</f>
        <v>SKUPNA REKAPITULACIJA ZAMENJAVE PREPUSTOV</v>
      </c>
      <c r="B20" s="190"/>
      <c r="C20" s="190"/>
      <c r="D20" s="191"/>
      <c r="E20" s="191"/>
      <c r="F20" s="191"/>
    </row>
    <row r="21" spans="1:6" ht="15">
      <c r="A21" s="30"/>
      <c r="B21" s="31"/>
      <c r="C21" s="31"/>
      <c r="D21" s="31"/>
      <c r="E21" s="31"/>
      <c r="F21" s="32"/>
    </row>
    <row r="22" spans="1:6" ht="15">
      <c r="A22" s="30" t="s">
        <v>8</v>
      </c>
      <c r="B22" s="98" t="s">
        <v>288</v>
      </c>
      <c r="C22" s="66"/>
      <c r="D22" s="66"/>
      <c r="E22" s="66"/>
      <c r="F22" s="67">
        <f>+'A.PREPUST VIZORE'!F72</f>
        <v>0</v>
      </c>
    </row>
    <row r="23" spans="1:6" ht="15">
      <c r="A23" s="30" t="s">
        <v>130</v>
      </c>
      <c r="B23" s="98" t="s">
        <v>178</v>
      </c>
      <c r="C23" s="66"/>
      <c r="D23" s="66"/>
      <c r="E23" s="66"/>
      <c r="F23" s="67">
        <f>+B.PREPUST_HOMEC!F56</f>
        <v>0</v>
      </c>
    </row>
    <row r="24" spans="1:6" ht="15">
      <c r="A24" s="30" t="s">
        <v>132</v>
      </c>
      <c r="B24" s="98" t="s">
        <v>131</v>
      </c>
      <c r="C24" s="66"/>
      <c r="D24" s="66"/>
      <c r="E24" s="66"/>
      <c r="F24" s="67">
        <f>+'C. PREPUST_LANDEK'!F56</f>
        <v>0</v>
      </c>
    </row>
    <row r="25" spans="1:6" ht="15.95" customHeight="1">
      <c r="A25" s="83" t="s">
        <v>51</v>
      </c>
      <c r="B25" s="84"/>
      <c r="C25" s="34"/>
      <c r="D25" s="34"/>
      <c r="E25" s="35"/>
      <c r="F25" s="36">
        <f>SUM(F22:F24)</f>
        <v>0</v>
      </c>
    </row>
    <row r="26" spans="1:6" ht="15">
      <c r="A26" s="33" t="s">
        <v>9</v>
      </c>
      <c r="B26" s="34"/>
      <c r="C26" s="34"/>
      <c r="D26" s="34"/>
      <c r="E26" s="35"/>
      <c r="F26" s="37">
        <f>F25*0.22</f>
        <v>0</v>
      </c>
    </row>
    <row r="27" spans="1:6" ht="15">
      <c r="A27" s="38" t="s">
        <v>10</v>
      </c>
      <c r="B27" s="39"/>
      <c r="C27" s="39"/>
      <c r="D27" s="39"/>
      <c r="E27" s="39"/>
      <c r="F27" s="40">
        <f>F25+F26</f>
        <v>0</v>
      </c>
    </row>
  </sheetData>
  <mergeCells count="5">
    <mergeCell ref="A1:F3"/>
    <mergeCell ref="C5:F5"/>
    <mergeCell ref="A17:B17"/>
    <mergeCell ref="C17:F17"/>
    <mergeCell ref="A20:F20"/>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Z152"/>
  <sheetViews>
    <sheetView view="pageBreakPreview" topLeftCell="A57" zoomScaleNormal="100" zoomScaleSheetLayoutView="100" workbookViewId="0">
      <selection activeCell="E72" sqref="E72"/>
    </sheetView>
  </sheetViews>
  <sheetFormatPr defaultColWidth="9.140625" defaultRowHeight="12"/>
  <cols>
    <col min="1" max="1" width="6" style="179" bestFit="1" customWidth="1"/>
    <col min="2" max="2" width="77.140625" style="180" customWidth="1"/>
    <col min="3" max="3" width="4.85546875" style="181" customWidth="1"/>
    <col min="4" max="4" width="10.140625" style="182" customWidth="1"/>
    <col min="5" max="5" width="10.5703125" style="182" customWidth="1"/>
    <col min="6" max="6" width="12" style="182" customWidth="1"/>
    <col min="7" max="7" width="16" style="45" customWidth="1"/>
    <col min="8" max="16384" width="9.140625" style="45"/>
  </cols>
  <sheetData>
    <row r="1" spans="1:17" s="43" customFormat="1" ht="37.5">
      <c r="A1" s="131"/>
      <c r="B1" s="132" t="s">
        <v>226</v>
      </c>
      <c r="C1" s="133"/>
      <c r="D1" s="134"/>
      <c r="E1" s="134"/>
      <c r="F1" s="135"/>
    </row>
    <row r="2" spans="1:17" s="70" customFormat="1" ht="36">
      <c r="A2" s="136"/>
      <c r="B2" s="61" t="s">
        <v>28</v>
      </c>
      <c r="C2" s="137"/>
      <c r="D2" s="138"/>
      <c r="E2" s="138"/>
      <c r="F2" s="139"/>
    </row>
    <row r="3" spans="1:17" s="70" customFormat="1" ht="36">
      <c r="A3" s="140"/>
      <c r="B3" s="62" t="s">
        <v>29</v>
      </c>
      <c r="C3" s="141"/>
      <c r="D3" s="142"/>
      <c r="E3" s="142"/>
      <c r="F3" s="143"/>
    </row>
    <row r="4" spans="1:17" s="62" customFormat="1" ht="60">
      <c r="B4" s="62" t="s">
        <v>30</v>
      </c>
    </row>
    <row r="5" spans="1:17" s="62" customFormat="1" ht="36">
      <c r="B5" s="62" t="s">
        <v>31</v>
      </c>
    </row>
    <row r="6" spans="1:17" s="62" customFormat="1" ht="72">
      <c r="B6" s="62" t="s">
        <v>32</v>
      </c>
    </row>
    <row r="7" spans="1:17" s="62" customFormat="1" ht="108">
      <c r="B7" s="62" t="s">
        <v>33</v>
      </c>
    </row>
    <row r="8" spans="1:17" s="62" customFormat="1" ht="120">
      <c r="B8" s="62" t="s">
        <v>34</v>
      </c>
    </row>
    <row r="9" spans="1:17" s="62" customFormat="1">
      <c r="A9" s="116"/>
      <c r="B9" s="116" t="s">
        <v>35</v>
      </c>
      <c r="C9" s="116"/>
      <c r="D9" s="116"/>
      <c r="E9" s="116"/>
      <c r="F9" s="116"/>
    </row>
    <row r="10" spans="1:17" s="44" customFormat="1">
      <c r="A10" s="144"/>
      <c r="B10" s="145"/>
      <c r="C10" s="146" t="s">
        <v>11</v>
      </c>
      <c r="D10" s="147" t="s">
        <v>12</v>
      </c>
      <c r="E10" s="147" t="s">
        <v>13</v>
      </c>
      <c r="F10" s="148" t="s">
        <v>14</v>
      </c>
    </row>
    <row r="11" spans="1:17" s="47" customFormat="1" ht="15">
      <c r="A11" s="111" t="s">
        <v>57</v>
      </c>
      <c r="B11" s="149" t="s">
        <v>0</v>
      </c>
      <c r="C11" s="113"/>
      <c r="D11" s="114"/>
      <c r="E11" s="114"/>
      <c r="F11" s="115"/>
      <c r="J11" s="150"/>
      <c r="Q11" s="44"/>
    </row>
    <row r="12" spans="1:17" s="44" customFormat="1" ht="65.099999999999994" customHeight="1">
      <c r="A12" s="89" t="s">
        <v>58</v>
      </c>
      <c r="B12" s="51" t="s">
        <v>227</v>
      </c>
      <c r="C12" s="58" t="s">
        <v>15</v>
      </c>
      <c r="D12" s="59">
        <v>1</v>
      </c>
      <c r="E12" s="60"/>
      <c r="F12" s="60">
        <f>D12*E12</f>
        <v>0</v>
      </c>
    </row>
    <row r="13" spans="1:17" s="44" customFormat="1" ht="74.25" customHeight="1">
      <c r="A13" s="89" t="s">
        <v>59</v>
      </c>
      <c r="B13" s="65" t="s">
        <v>228</v>
      </c>
      <c r="C13" s="73" t="s">
        <v>17</v>
      </c>
      <c r="D13" s="74">
        <v>1</v>
      </c>
      <c r="E13" s="75"/>
      <c r="F13" s="75">
        <f t="shared" ref="F13:F14" si="0">ROUND(D13*E13,2)</f>
        <v>0</v>
      </c>
    </row>
    <row r="14" spans="1:17" s="70" customFormat="1" ht="45">
      <c r="A14" s="89" t="s">
        <v>60</v>
      </c>
      <c r="B14" s="126" t="s">
        <v>229</v>
      </c>
      <c r="C14" s="127" t="s">
        <v>17</v>
      </c>
      <c r="D14" s="74">
        <v>1</v>
      </c>
      <c r="E14" s="75"/>
      <c r="F14" s="75">
        <f t="shared" si="0"/>
        <v>0</v>
      </c>
    </row>
    <row r="15" spans="1:17" s="44" customFormat="1" ht="36" customHeight="1">
      <c r="A15" s="89" t="s">
        <v>94</v>
      </c>
      <c r="B15" s="65" t="s">
        <v>230</v>
      </c>
      <c r="C15" s="151" t="s">
        <v>17</v>
      </c>
      <c r="D15" s="152">
        <v>2</v>
      </c>
      <c r="E15" s="153"/>
      <c r="F15" s="153">
        <f>ROUND(D15*E15,2)</f>
        <v>0</v>
      </c>
    </row>
    <row r="16" spans="1:17" s="44" customFormat="1" ht="75">
      <c r="A16" s="89" t="s">
        <v>95</v>
      </c>
      <c r="B16" s="154" t="s">
        <v>231</v>
      </c>
      <c r="C16" s="58" t="s">
        <v>17</v>
      </c>
      <c r="D16" s="59">
        <v>1</v>
      </c>
      <c r="E16" s="60"/>
      <c r="F16" s="60">
        <f t="shared" ref="F16:F17" si="1">ROUND(D16*E16,2)</f>
        <v>0</v>
      </c>
    </row>
    <row r="17" spans="1:26" s="44" customFormat="1" ht="30">
      <c r="A17" s="89" t="s">
        <v>96</v>
      </c>
      <c r="B17" s="65" t="s">
        <v>99</v>
      </c>
      <c r="C17" s="73" t="s">
        <v>100</v>
      </c>
      <c r="D17" s="74">
        <v>1</v>
      </c>
      <c r="E17" s="75"/>
      <c r="F17" s="75">
        <f t="shared" si="1"/>
        <v>0</v>
      </c>
      <c r="I17" s="192"/>
    </row>
    <row r="18" spans="1:26" s="44" customFormat="1" ht="18" customHeight="1">
      <c r="A18" s="89" t="s">
        <v>97</v>
      </c>
      <c r="B18" s="51" t="s">
        <v>101</v>
      </c>
      <c r="C18" s="58" t="s">
        <v>17</v>
      </c>
      <c r="D18" s="59">
        <v>12</v>
      </c>
      <c r="E18" s="60"/>
      <c r="F18" s="60">
        <f>ROUND(D18*E18,2)</f>
        <v>0</v>
      </c>
      <c r="I18" s="192"/>
    </row>
    <row r="19" spans="1:26" s="44" customFormat="1" ht="18" customHeight="1">
      <c r="A19" s="89" t="s">
        <v>232</v>
      </c>
      <c r="B19" s="65" t="s">
        <v>233</v>
      </c>
      <c r="C19" s="73" t="s">
        <v>4</v>
      </c>
      <c r="D19" s="74">
        <f>5*2*4</f>
        <v>40</v>
      </c>
      <c r="E19" s="75"/>
      <c r="F19" s="75">
        <f t="shared" ref="F19:F20" si="2">ROUND(D19*E19,2)</f>
        <v>0</v>
      </c>
    </row>
    <row r="20" spans="1:26" s="44" customFormat="1" ht="18" customHeight="1">
      <c r="A20" s="89" t="s">
        <v>234</v>
      </c>
      <c r="B20" s="65" t="s">
        <v>235</v>
      </c>
      <c r="C20" s="73" t="s">
        <v>17</v>
      </c>
      <c r="D20" s="74">
        <f>5*4/4</f>
        <v>5</v>
      </c>
      <c r="E20" s="75"/>
      <c r="F20" s="75">
        <f t="shared" si="2"/>
        <v>0</v>
      </c>
    </row>
    <row r="21" spans="1:26" s="47" customFormat="1" ht="15">
      <c r="A21" s="111" t="s">
        <v>61</v>
      </c>
      <c r="B21" s="149" t="s">
        <v>1</v>
      </c>
      <c r="C21" s="113"/>
      <c r="D21" s="114"/>
      <c r="E21" s="114"/>
      <c r="F21" s="115"/>
      <c r="G21" s="44"/>
      <c r="H21" s="44"/>
      <c r="I21" s="44"/>
    </row>
    <row r="22" spans="1:26" s="44" customFormat="1" ht="60">
      <c r="A22" s="155"/>
      <c r="B22" s="156" t="s">
        <v>236</v>
      </c>
      <c r="C22" s="157"/>
      <c r="D22" s="158"/>
      <c r="E22" s="159"/>
      <c r="F22" s="159"/>
      <c r="G22" s="160"/>
      <c r="H22" s="160"/>
      <c r="I22" s="160"/>
      <c r="J22" s="160"/>
      <c r="K22" s="160"/>
      <c r="L22" s="160"/>
      <c r="M22" s="160"/>
      <c r="N22" s="160"/>
      <c r="O22" s="160"/>
      <c r="P22" s="160"/>
      <c r="Q22" s="160"/>
      <c r="R22" s="160"/>
      <c r="S22" s="160"/>
      <c r="T22" s="160"/>
      <c r="U22" s="160"/>
      <c r="V22" s="160"/>
      <c r="W22" s="160"/>
      <c r="X22" s="160"/>
      <c r="Y22" s="160"/>
      <c r="Z22" s="160"/>
    </row>
    <row r="23" spans="1:26" s="44" customFormat="1" ht="36">
      <c r="A23" s="155"/>
      <c r="B23" s="156" t="s">
        <v>237</v>
      </c>
      <c r="C23" s="157"/>
      <c r="D23" s="158"/>
      <c r="E23" s="159"/>
      <c r="F23" s="159"/>
      <c r="G23" s="160"/>
      <c r="H23" s="160"/>
      <c r="I23" s="160"/>
      <c r="J23" s="160"/>
      <c r="K23" s="160"/>
      <c r="L23" s="160"/>
      <c r="M23" s="160"/>
      <c r="N23" s="160"/>
      <c r="O23" s="160"/>
      <c r="P23" s="160"/>
      <c r="Q23" s="160"/>
      <c r="R23" s="160"/>
      <c r="S23" s="160"/>
      <c r="T23" s="160"/>
      <c r="U23" s="160"/>
      <c r="V23" s="160"/>
      <c r="W23" s="160"/>
      <c r="X23" s="160"/>
      <c r="Y23" s="160"/>
      <c r="Z23" s="160"/>
    </row>
    <row r="24" spans="1:26" s="44" customFormat="1" ht="27" customHeight="1">
      <c r="A24" s="155"/>
      <c r="B24" s="156" t="s">
        <v>238</v>
      </c>
      <c r="C24" s="157"/>
      <c r="D24" s="158"/>
      <c r="E24" s="159"/>
      <c r="F24" s="159"/>
      <c r="G24" s="160"/>
      <c r="H24" s="160"/>
      <c r="I24" s="160"/>
      <c r="J24" s="160"/>
      <c r="K24" s="160"/>
      <c r="L24" s="160"/>
      <c r="M24" s="160"/>
      <c r="N24" s="160"/>
      <c r="O24" s="160"/>
      <c r="P24" s="160"/>
      <c r="Q24" s="160"/>
      <c r="R24" s="160"/>
      <c r="S24" s="160"/>
      <c r="T24" s="160"/>
      <c r="U24" s="160"/>
      <c r="V24" s="160"/>
      <c r="W24" s="160"/>
      <c r="X24" s="160"/>
      <c r="Y24" s="160"/>
      <c r="Z24" s="160"/>
    </row>
    <row r="25" spans="1:26" s="44" customFormat="1" ht="18" customHeight="1">
      <c r="A25" s="89" t="s">
        <v>62</v>
      </c>
      <c r="B25" s="51" t="s">
        <v>239</v>
      </c>
      <c r="C25" s="58" t="s">
        <v>2</v>
      </c>
      <c r="D25" s="59">
        <f>(16+6+8+11)*0.5+4</f>
        <v>24.5</v>
      </c>
      <c r="E25" s="60"/>
      <c r="F25" s="60">
        <f t="shared" ref="F25:F31" si="3">ROUND(D25*E25,2)</f>
        <v>0</v>
      </c>
    </row>
    <row r="26" spans="1:26" s="44" customFormat="1" ht="30">
      <c r="A26" s="89" t="s">
        <v>63</v>
      </c>
      <c r="B26" s="51" t="s">
        <v>240</v>
      </c>
      <c r="C26" s="58" t="s">
        <v>2</v>
      </c>
      <c r="D26" s="59">
        <f>(31.7*9.22+
(16+6+8+11)*(1+1.5)+
(32+26+10)*5*0.4)*1.2</f>
        <v>636.92880000000002</v>
      </c>
      <c r="E26" s="60"/>
      <c r="F26" s="60">
        <f t="shared" si="3"/>
        <v>0</v>
      </c>
    </row>
    <row r="27" spans="1:26" s="44" customFormat="1" ht="30">
      <c r="A27" s="89" t="s">
        <v>64</v>
      </c>
      <c r="B27" s="51" t="s">
        <v>241</v>
      </c>
      <c r="C27" s="58" t="s">
        <v>2</v>
      </c>
      <c r="D27" s="59">
        <f>(31.7*9.22+
(16+6+8+11)*(1+1.5)+
(32+26+10)*5*0.4)*1.2*0.1</f>
        <v>63.692880000000002</v>
      </c>
      <c r="E27" s="60"/>
      <c r="F27" s="60">
        <f t="shared" si="3"/>
        <v>0</v>
      </c>
    </row>
    <row r="28" spans="1:26" s="44" customFormat="1" ht="30">
      <c r="A28" s="89" t="s">
        <v>65</v>
      </c>
      <c r="B28" s="65" t="s">
        <v>242</v>
      </c>
      <c r="C28" s="58" t="s">
        <v>2</v>
      </c>
      <c r="D28" s="59">
        <f>(4+4.2)*8.22</f>
        <v>67.403999999999996</v>
      </c>
      <c r="E28" s="60"/>
      <c r="F28" s="60">
        <f t="shared" si="3"/>
        <v>0</v>
      </c>
    </row>
    <row r="29" spans="1:26" s="44" customFormat="1" ht="29.25" customHeight="1">
      <c r="A29" s="89" t="s">
        <v>66</v>
      </c>
      <c r="B29" s="161" t="s">
        <v>243</v>
      </c>
      <c r="C29" s="58" t="s">
        <v>2</v>
      </c>
      <c r="D29" s="59">
        <f>D26+D27</f>
        <v>700.62167999999997</v>
      </c>
      <c r="E29" s="60"/>
      <c r="F29" s="60">
        <f t="shared" si="3"/>
        <v>0</v>
      </c>
    </row>
    <row r="30" spans="1:26" s="44" customFormat="1" ht="18" customHeight="1">
      <c r="A30" s="89" t="s">
        <v>67</v>
      </c>
      <c r="B30" s="51" t="s">
        <v>244</v>
      </c>
      <c r="C30" s="58" t="s">
        <v>4</v>
      </c>
      <c r="D30" s="59">
        <f>(16+6+8+11)*2+
(26+32+10)*2*2</f>
        <v>354</v>
      </c>
      <c r="E30" s="60"/>
      <c r="F30" s="60">
        <f t="shared" si="3"/>
        <v>0</v>
      </c>
    </row>
    <row r="31" spans="1:26" s="44" customFormat="1" ht="18" customHeight="1">
      <c r="A31" s="89" t="s">
        <v>68</v>
      </c>
      <c r="B31" s="51" t="s">
        <v>245</v>
      </c>
      <c r="C31" s="58" t="s">
        <v>4</v>
      </c>
      <c r="D31" s="59">
        <f>D30</f>
        <v>354</v>
      </c>
      <c r="E31" s="60"/>
      <c r="F31" s="60">
        <f t="shared" si="3"/>
        <v>0</v>
      </c>
    </row>
    <row r="32" spans="1:26" s="47" customFormat="1" ht="15">
      <c r="A32" s="111" t="s">
        <v>69</v>
      </c>
      <c r="B32" s="149" t="s">
        <v>3</v>
      </c>
      <c r="C32" s="113"/>
      <c r="D32" s="114"/>
      <c r="E32" s="114"/>
      <c r="F32" s="115"/>
      <c r="G32" s="44"/>
      <c r="H32" s="44"/>
      <c r="I32" s="44"/>
    </row>
    <row r="33" spans="1:9" s="47" customFormat="1" ht="48">
      <c r="A33" s="162"/>
      <c r="B33" s="163" t="s">
        <v>246</v>
      </c>
      <c r="C33" s="164"/>
      <c r="D33" s="165"/>
      <c r="E33" s="165"/>
      <c r="F33" s="166"/>
    </row>
    <row r="34" spans="1:9" s="167" customFormat="1" ht="30">
      <c r="A34" s="89" t="s">
        <v>70</v>
      </c>
      <c r="B34" s="65" t="s">
        <v>247</v>
      </c>
      <c r="C34" s="58" t="s">
        <v>2</v>
      </c>
      <c r="D34" s="59">
        <f>(11)*4.5</f>
        <v>49.5</v>
      </c>
      <c r="E34" s="60"/>
      <c r="F34" s="60">
        <f t="shared" ref="F34:F42" si="4">ROUND(D34*E34,2)</f>
        <v>0</v>
      </c>
      <c r="G34" s="47"/>
      <c r="H34" s="47"/>
      <c r="I34" s="47"/>
    </row>
    <row r="35" spans="1:9" s="44" customFormat="1" ht="30">
      <c r="A35" s="89" t="s">
        <v>71</v>
      </c>
      <c r="B35" s="51" t="s">
        <v>248</v>
      </c>
      <c r="C35" s="58" t="s">
        <v>4</v>
      </c>
      <c r="D35" s="59">
        <f>(3.33+3.34)*7.22</f>
        <v>48.157399999999996</v>
      </c>
      <c r="E35" s="60"/>
      <c r="F35" s="60">
        <f t="shared" si="4"/>
        <v>0</v>
      </c>
      <c r="G35" s="167"/>
      <c r="H35" s="167"/>
      <c r="I35" s="167"/>
    </row>
    <row r="36" spans="1:9" s="167" customFormat="1" ht="45">
      <c r="A36" s="89" t="s">
        <v>72</v>
      </c>
      <c r="B36" s="51" t="s">
        <v>249</v>
      </c>
      <c r="C36" s="58" t="s">
        <v>4</v>
      </c>
      <c r="D36" s="59">
        <f>5.87*4.5</f>
        <v>26.414999999999999</v>
      </c>
      <c r="E36" s="60"/>
      <c r="F36" s="60">
        <f t="shared" si="4"/>
        <v>0</v>
      </c>
      <c r="G36" s="44"/>
      <c r="H36" s="44"/>
      <c r="I36" s="44"/>
    </row>
    <row r="37" spans="1:9" s="44" customFormat="1" ht="30">
      <c r="A37" s="89" t="s">
        <v>73</v>
      </c>
      <c r="B37" s="51" t="s">
        <v>250</v>
      </c>
      <c r="C37" s="58" t="s">
        <v>4</v>
      </c>
      <c r="D37" s="59">
        <f>(0.25*7.48*2)*2+0.25*0.25*2*2+
0.3*7.22*2*2+(0.5*0.3)*4</f>
        <v>16.994</v>
      </c>
      <c r="E37" s="60"/>
      <c r="F37" s="60">
        <f t="shared" si="4"/>
        <v>0</v>
      </c>
      <c r="G37" s="167"/>
      <c r="H37" s="167"/>
      <c r="I37" s="167"/>
    </row>
    <row r="38" spans="1:9" s="44" customFormat="1" ht="45">
      <c r="A38" s="89" t="s">
        <v>74</v>
      </c>
      <c r="B38" s="51" t="s">
        <v>251</v>
      </c>
      <c r="C38" s="58" t="s">
        <v>2</v>
      </c>
      <c r="D38" s="59">
        <f>7.48*4.5*0.45</f>
        <v>15.147000000000002</v>
      </c>
      <c r="E38" s="60"/>
      <c r="F38" s="60">
        <f t="shared" si="4"/>
        <v>0</v>
      </c>
    </row>
    <row r="39" spans="1:9" s="44" customFormat="1" ht="32.1" customHeight="1">
      <c r="A39" s="89" t="s">
        <v>75</v>
      </c>
      <c r="B39" s="51" t="s">
        <v>252</v>
      </c>
      <c r="C39" s="58" t="s">
        <v>2</v>
      </c>
      <c r="D39" s="59">
        <f>0.3*0.5*7.22*2</f>
        <v>2.1659999999999999</v>
      </c>
      <c r="E39" s="60"/>
      <c r="F39" s="60">
        <f t="shared" si="4"/>
        <v>0</v>
      </c>
    </row>
    <row r="40" spans="1:9" s="44" customFormat="1" ht="33" customHeight="1">
      <c r="A40" s="89" t="s">
        <v>76</v>
      </c>
      <c r="B40" s="65" t="s">
        <v>253</v>
      </c>
      <c r="C40" s="168" t="s">
        <v>2</v>
      </c>
      <c r="D40" s="169">
        <f>0.25*0.25*7.48*2</f>
        <v>0.93500000000000005</v>
      </c>
      <c r="E40" s="169"/>
      <c r="F40" s="170">
        <f t="shared" ref="F40" si="5">D40*E40</f>
        <v>0</v>
      </c>
    </row>
    <row r="41" spans="1:9" s="44" customFormat="1" ht="30">
      <c r="A41" s="89" t="s">
        <v>77</v>
      </c>
      <c r="B41" s="51" t="s">
        <v>254</v>
      </c>
      <c r="C41" s="58" t="s">
        <v>17</v>
      </c>
      <c r="D41" s="59">
        <v>2</v>
      </c>
      <c r="E41" s="60"/>
      <c r="F41" s="60">
        <f t="shared" ref="F41" si="6">ROUND(D41*E41,2)</f>
        <v>0</v>
      </c>
    </row>
    <row r="42" spans="1:9" s="44" customFormat="1" ht="15">
      <c r="A42" s="89" t="s">
        <v>78</v>
      </c>
      <c r="B42" s="51" t="s">
        <v>255</v>
      </c>
      <c r="C42" s="58" t="s">
        <v>256</v>
      </c>
      <c r="D42" s="59">
        <f>7.48*4+5.87*2</f>
        <v>41.660000000000004</v>
      </c>
      <c r="E42" s="60"/>
      <c r="F42" s="60">
        <f t="shared" si="4"/>
        <v>0</v>
      </c>
    </row>
    <row r="43" spans="1:9" s="44" customFormat="1" ht="30">
      <c r="A43" s="89" t="s">
        <v>79</v>
      </c>
      <c r="B43" s="51" t="s">
        <v>257</v>
      </c>
      <c r="C43" s="58" t="s">
        <v>20</v>
      </c>
      <c r="D43" s="171">
        <v>611.46</v>
      </c>
      <c r="E43" s="60"/>
      <c r="F43" s="60">
        <f>ROUND(D43*E43,2)</f>
        <v>0</v>
      </c>
    </row>
    <row r="44" spans="1:9" s="44" customFormat="1" ht="30">
      <c r="A44" s="89" t="s">
        <v>258</v>
      </c>
      <c r="B44" s="51" t="s">
        <v>259</v>
      </c>
      <c r="C44" s="58" t="s">
        <v>20</v>
      </c>
      <c r="D44" s="171">
        <v>3603.61</v>
      </c>
      <c r="E44" s="60"/>
      <c r="F44" s="60">
        <f>ROUND(D44*E44,2)</f>
        <v>0</v>
      </c>
      <c r="G44" s="172"/>
    </row>
    <row r="45" spans="1:9" s="47" customFormat="1" ht="30">
      <c r="A45" s="89" t="s">
        <v>260</v>
      </c>
      <c r="B45" s="51" t="s">
        <v>261</v>
      </c>
      <c r="C45" s="58" t="s">
        <v>20</v>
      </c>
      <c r="D45" s="171">
        <v>419.47</v>
      </c>
      <c r="E45" s="60"/>
      <c r="F45" s="60">
        <f t="shared" ref="F45:F48" si="7">ROUND(D45*E45,2)</f>
        <v>0</v>
      </c>
      <c r="G45" s="44"/>
      <c r="H45" s="44"/>
      <c r="I45" s="44"/>
    </row>
    <row r="46" spans="1:9" s="44" customFormat="1" ht="18" customHeight="1">
      <c r="A46" s="89" t="s">
        <v>262</v>
      </c>
      <c r="B46" s="51" t="s">
        <v>263</v>
      </c>
      <c r="C46" s="58" t="s">
        <v>4</v>
      </c>
      <c r="D46" s="59">
        <f>7.48*4.5</f>
        <v>33.660000000000004</v>
      </c>
      <c r="E46" s="60"/>
      <c r="F46" s="60">
        <f t="shared" si="7"/>
        <v>0</v>
      </c>
    </row>
    <row r="47" spans="1:9" s="167" customFormat="1" ht="32.450000000000003" customHeight="1">
      <c r="A47" s="89" t="s">
        <v>264</v>
      </c>
      <c r="B47" s="51" t="s">
        <v>265</v>
      </c>
      <c r="C47" s="58" t="s">
        <v>4</v>
      </c>
      <c r="D47" s="59">
        <f>D46</f>
        <v>33.660000000000004</v>
      </c>
      <c r="E47" s="60"/>
      <c r="F47" s="60">
        <f t="shared" si="7"/>
        <v>0</v>
      </c>
    </row>
    <row r="48" spans="1:9" s="167" customFormat="1" ht="18" customHeight="1">
      <c r="A48" s="89" t="s">
        <v>266</v>
      </c>
      <c r="B48" s="51" t="s">
        <v>267</v>
      </c>
      <c r="C48" s="58" t="s">
        <v>21</v>
      </c>
      <c r="D48" s="59">
        <f>ROUNDUP(7.22*2,0)</f>
        <v>15</v>
      </c>
      <c r="E48" s="60"/>
      <c r="F48" s="60">
        <f t="shared" si="7"/>
        <v>0</v>
      </c>
    </row>
    <row r="49" spans="1:9" s="44" customFormat="1" ht="15">
      <c r="A49" s="111" t="s">
        <v>80</v>
      </c>
      <c r="B49" s="149" t="s">
        <v>102</v>
      </c>
      <c r="C49" s="113"/>
      <c r="D49" s="114"/>
      <c r="E49" s="114"/>
      <c r="F49" s="115"/>
      <c r="G49" s="47"/>
      <c r="H49" s="47"/>
      <c r="I49" s="47"/>
    </row>
    <row r="50" spans="1:9" s="44" customFormat="1" ht="45">
      <c r="A50" s="89" t="s">
        <v>81</v>
      </c>
      <c r="B50" s="51" t="s">
        <v>103</v>
      </c>
      <c r="C50" s="58" t="s">
        <v>2</v>
      </c>
      <c r="D50" s="60">
        <f>(10+26+32)*5*0.2</f>
        <v>68</v>
      </c>
      <c r="E50" s="60"/>
      <c r="F50" s="60">
        <f t="shared" ref="F50:F51" si="8">ROUND(D50*E50,2)</f>
        <v>0</v>
      </c>
    </row>
    <row r="51" spans="1:9" s="44" customFormat="1" ht="45">
      <c r="A51" s="89" t="s">
        <v>82</v>
      </c>
      <c r="B51" s="51" t="s">
        <v>104</v>
      </c>
      <c r="C51" s="58" t="s">
        <v>2</v>
      </c>
      <c r="D51" s="60">
        <f>(10+26+32)*5*0.4</f>
        <v>136</v>
      </c>
      <c r="E51" s="60"/>
      <c r="F51" s="60">
        <f t="shared" si="8"/>
        <v>0</v>
      </c>
    </row>
    <row r="52" spans="1:9" s="44" customFormat="1" ht="46.5" customHeight="1">
      <c r="A52" s="89" t="s">
        <v>83</v>
      </c>
      <c r="B52" s="51" t="s">
        <v>268</v>
      </c>
      <c r="C52" s="58" t="s">
        <v>4</v>
      </c>
      <c r="D52" s="59">
        <f>4*7.48</f>
        <v>29.92</v>
      </c>
      <c r="E52" s="60"/>
      <c r="F52" s="60">
        <f>ROUND(D52*E52,2)</f>
        <v>0</v>
      </c>
    </row>
    <row r="53" spans="1:9" s="44" customFormat="1" ht="18" customHeight="1">
      <c r="A53" s="89" t="s">
        <v>84</v>
      </c>
      <c r="B53" s="51" t="s">
        <v>269</v>
      </c>
      <c r="C53" s="58" t="s">
        <v>4</v>
      </c>
      <c r="D53" s="59">
        <f>(26+32)*4</f>
        <v>232</v>
      </c>
      <c r="E53" s="60"/>
      <c r="F53" s="60">
        <f t="shared" ref="F53:F56" si="9">ROUND(D53*E53,2)</f>
        <v>0</v>
      </c>
    </row>
    <row r="54" spans="1:9" s="44" customFormat="1" ht="15">
      <c r="A54" s="89" t="s">
        <v>108</v>
      </c>
      <c r="B54" s="51" t="s">
        <v>270</v>
      </c>
      <c r="C54" s="58" t="s">
        <v>4</v>
      </c>
      <c r="D54" s="59">
        <f>D53</f>
        <v>232</v>
      </c>
      <c r="E54" s="60"/>
      <c r="F54" s="60">
        <f t="shared" si="9"/>
        <v>0</v>
      </c>
    </row>
    <row r="55" spans="1:9" s="47" customFormat="1" ht="15">
      <c r="A55" s="89" t="s">
        <v>109</v>
      </c>
      <c r="B55" s="51" t="s">
        <v>106</v>
      </c>
      <c r="C55" s="58" t="s">
        <v>256</v>
      </c>
      <c r="D55" s="59">
        <f>2*3</f>
        <v>6</v>
      </c>
      <c r="E55" s="60"/>
      <c r="F55" s="60">
        <f t="shared" si="9"/>
        <v>0</v>
      </c>
      <c r="G55" s="44"/>
      <c r="H55" s="44"/>
      <c r="I55" s="44"/>
    </row>
    <row r="56" spans="1:9" s="44" customFormat="1" ht="30">
      <c r="A56" s="89" t="s">
        <v>271</v>
      </c>
      <c r="B56" s="51" t="s">
        <v>107</v>
      </c>
      <c r="C56" s="58" t="s">
        <v>4</v>
      </c>
      <c r="D56" s="59">
        <f>(26+32)*0.5*2</f>
        <v>58</v>
      </c>
      <c r="E56" s="60"/>
      <c r="F56" s="60">
        <f t="shared" si="9"/>
        <v>0</v>
      </c>
      <c r="G56" s="47"/>
      <c r="H56" s="47"/>
      <c r="I56" s="47"/>
    </row>
    <row r="57" spans="1:9" s="47" customFormat="1" ht="17.25" customHeight="1">
      <c r="A57" s="111" t="s">
        <v>85</v>
      </c>
      <c r="B57" s="149" t="s">
        <v>272</v>
      </c>
      <c r="C57" s="113"/>
      <c r="D57" s="114"/>
      <c r="E57" s="114"/>
      <c r="F57" s="115"/>
      <c r="G57" s="173"/>
      <c r="H57" s="173"/>
      <c r="I57" s="173"/>
    </row>
    <row r="58" spans="1:9" s="167" customFormat="1" ht="30">
      <c r="A58" s="89" t="s">
        <v>19</v>
      </c>
      <c r="B58" s="51" t="s">
        <v>273</v>
      </c>
      <c r="C58" s="58" t="s">
        <v>256</v>
      </c>
      <c r="D58" s="59">
        <v>24</v>
      </c>
      <c r="E58" s="60"/>
      <c r="F58" s="60">
        <f>D58*E58</f>
        <v>0</v>
      </c>
      <c r="G58" s="47"/>
      <c r="H58" s="47"/>
      <c r="I58" s="47"/>
    </row>
    <row r="59" spans="1:9" s="167" customFormat="1" ht="18" customHeight="1">
      <c r="A59" s="89" t="s">
        <v>56</v>
      </c>
      <c r="B59" s="51" t="s">
        <v>274</v>
      </c>
      <c r="C59" s="58" t="s">
        <v>256</v>
      </c>
      <c r="D59" s="59">
        <v>20</v>
      </c>
      <c r="E59" s="60"/>
      <c r="F59" s="60">
        <f>D59*E59</f>
        <v>0</v>
      </c>
      <c r="G59" s="47"/>
      <c r="H59" s="47"/>
      <c r="I59" s="47"/>
    </row>
    <row r="60" spans="1:9" s="44" customFormat="1" ht="15">
      <c r="A60" s="89" t="s">
        <v>113</v>
      </c>
      <c r="B60" s="51" t="s">
        <v>275</v>
      </c>
      <c r="C60" s="58" t="s">
        <v>15</v>
      </c>
      <c r="D60" s="59">
        <v>2</v>
      </c>
      <c r="E60" s="60"/>
      <c r="F60" s="60">
        <f t="shared" ref="F60" si="10">ROUND(E60*D60,2)</f>
        <v>0</v>
      </c>
      <c r="G60" s="167"/>
      <c r="H60" s="167"/>
      <c r="I60" s="167"/>
    </row>
    <row r="61" spans="1:9" s="167" customFormat="1" ht="17.25" customHeight="1">
      <c r="A61" s="111" t="s">
        <v>114</v>
      </c>
      <c r="B61" s="149" t="s">
        <v>16</v>
      </c>
      <c r="C61" s="113"/>
      <c r="D61" s="114"/>
      <c r="E61" s="114"/>
      <c r="F61" s="115"/>
      <c r="G61" s="44"/>
      <c r="H61" s="44"/>
      <c r="I61" s="44"/>
    </row>
    <row r="62" spans="1:9" s="44" customFormat="1" ht="36.950000000000003" customHeight="1">
      <c r="A62" s="89" t="s">
        <v>115</v>
      </c>
      <c r="B62" s="65" t="s">
        <v>276</v>
      </c>
      <c r="C62" s="58" t="s">
        <v>2</v>
      </c>
      <c r="D62" s="59">
        <f>(16+6+8+11)*(1+1.5)</f>
        <v>102.5</v>
      </c>
      <c r="E62" s="60"/>
      <c r="F62" s="60">
        <f t="shared" ref="F62:F66" si="11">ROUND(D62*E62,2)</f>
        <v>0</v>
      </c>
      <c r="G62" s="167"/>
      <c r="H62" s="167"/>
      <c r="I62" s="167"/>
    </row>
    <row r="63" spans="1:9" s="44" customFormat="1" ht="18" customHeight="1">
      <c r="A63" s="89" t="s">
        <v>116</v>
      </c>
      <c r="B63" s="51" t="s">
        <v>277</v>
      </c>
      <c r="C63" s="58" t="s">
        <v>2</v>
      </c>
      <c r="D63" s="59">
        <f>4*1.5*1</f>
        <v>6</v>
      </c>
      <c r="E63" s="60"/>
      <c r="F63" s="60">
        <f t="shared" si="11"/>
        <v>0</v>
      </c>
    </row>
    <row r="64" spans="1:9" s="44" customFormat="1" ht="32.450000000000003" customHeight="1">
      <c r="A64" s="89" t="s">
        <v>117</v>
      </c>
      <c r="B64" s="51" t="s">
        <v>278</v>
      </c>
      <c r="C64" s="58" t="s">
        <v>17</v>
      </c>
      <c r="D64" s="59">
        <v>2</v>
      </c>
      <c r="E64" s="60"/>
      <c r="F64" s="60">
        <f t="shared" si="11"/>
        <v>0</v>
      </c>
    </row>
    <row r="65" spans="1:9" s="44" customFormat="1" ht="47.1" customHeight="1">
      <c r="A65" s="89" t="s">
        <v>279</v>
      </c>
      <c r="B65" s="51" t="s">
        <v>280</v>
      </c>
      <c r="C65" s="58" t="s">
        <v>2</v>
      </c>
      <c r="D65" s="59">
        <f>PI()*0.3*0.3/4*2.5*3</f>
        <v>0.53014376029327759</v>
      </c>
      <c r="E65" s="60"/>
      <c r="F65" s="60">
        <f t="shared" si="11"/>
        <v>0</v>
      </c>
    </row>
    <row r="66" spans="1:9" s="44" customFormat="1" ht="18" customHeight="1">
      <c r="A66" s="89" t="s">
        <v>281</v>
      </c>
      <c r="B66" s="51" t="s">
        <v>23</v>
      </c>
      <c r="C66" s="58" t="s">
        <v>15</v>
      </c>
      <c r="D66" s="59">
        <f>ROUNDUP(16+6+8+11,0)</f>
        <v>41</v>
      </c>
      <c r="E66" s="60"/>
      <c r="F66" s="60">
        <f t="shared" si="11"/>
        <v>0</v>
      </c>
    </row>
    <row r="67" spans="1:9" s="47" customFormat="1" ht="15">
      <c r="A67" s="111" t="s">
        <v>282</v>
      </c>
      <c r="B67" s="149" t="s">
        <v>5</v>
      </c>
      <c r="C67" s="113"/>
      <c r="D67" s="114"/>
      <c r="E67" s="114"/>
      <c r="F67" s="115"/>
      <c r="G67" s="44"/>
      <c r="H67" s="44"/>
      <c r="I67" s="44"/>
    </row>
    <row r="68" spans="1:9" s="44" customFormat="1" ht="15">
      <c r="A68" s="89" t="s">
        <v>283</v>
      </c>
      <c r="B68" s="51" t="s">
        <v>18</v>
      </c>
      <c r="C68" s="58" t="s">
        <v>15</v>
      </c>
      <c r="D68" s="59">
        <v>1</v>
      </c>
      <c r="E68" s="60"/>
      <c r="F68" s="60">
        <f t="shared" ref="F68:F69" si="12">D68*E68</f>
        <v>0</v>
      </c>
      <c r="G68" s="47"/>
      <c r="H68" s="47"/>
      <c r="I68" s="47"/>
    </row>
    <row r="69" spans="1:9" s="70" customFormat="1" ht="15">
      <c r="A69" s="89" t="s">
        <v>291</v>
      </c>
      <c r="B69" s="161" t="s">
        <v>284</v>
      </c>
      <c r="C69" s="174" t="s">
        <v>112</v>
      </c>
      <c r="D69" s="152">
        <v>8</v>
      </c>
      <c r="E69" s="153"/>
      <c r="F69" s="153">
        <f t="shared" si="12"/>
        <v>0</v>
      </c>
    </row>
    <row r="70" spans="1:9" s="70" customFormat="1" ht="15">
      <c r="A70" s="89" t="s">
        <v>286</v>
      </c>
      <c r="B70" s="161" t="s">
        <v>285</v>
      </c>
      <c r="C70" s="174" t="s">
        <v>112</v>
      </c>
      <c r="D70" s="152">
        <v>12</v>
      </c>
      <c r="E70" s="153"/>
      <c r="F70" s="153">
        <f>D70*E70</f>
        <v>0</v>
      </c>
    </row>
    <row r="71" spans="1:9" s="44" customFormat="1" ht="15">
      <c r="A71" s="89" t="s">
        <v>292</v>
      </c>
      <c r="B71" s="51" t="s">
        <v>54</v>
      </c>
      <c r="C71" s="58" t="s">
        <v>55</v>
      </c>
      <c r="D71" s="59">
        <v>1</v>
      </c>
      <c r="E71" s="60">
        <f>SUM(F12:F70)*0.1</f>
        <v>0</v>
      </c>
      <c r="F71" s="60">
        <f t="shared" ref="F71" si="13">ROUND(D71*E71,2)</f>
        <v>0</v>
      </c>
    </row>
    <row r="72" spans="1:9" s="44" customFormat="1" ht="15">
      <c r="A72" s="175"/>
      <c r="B72" s="176" t="s">
        <v>287</v>
      </c>
      <c r="C72" s="177"/>
      <c r="D72" s="177"/>
      <c r="E72" s="177"/>
      <c r="F72" s="178">
        <f>SUM(F1:F71)</f>
        <v>0</v>
      </c>
    </row>
    <row r="73" spans="1:9" s="44" customFormat="1">
      <c r="A73" s="179"/>
      <c r="B73" s="180"/>
      <c r="C73" s="181"/>
      <c r="D73" s="182"/>
      <c r="E73" s="182"/>
      <c r="F73" s="182"/>
    </row>
    <row r="74" spans="1:9" s="44" customFormat="1">
      <c r="A74" s="179"/>
      <c r="B74" s="180"/>
      <c r="C74" s="181"/>
      <c r="D74" s="182"/>
      <c r="E74" s="182"/>
      <c r="F74" s="182"/>
    </row>
    <row r="75" spans="1:9" s="44" customFormat="1">
      <c r="A75" s="179"/>
      <c r="B75" s="180"/>
      <c r="C75" s="181"/>
      <c r="D75" s="182"/>
      <c r="E75" s="182"/>
      <c r="F75" s="182"/>
    </row>
    <row r="76" spans="1:9" s="44" customFormat="1">
      <c r="A76" s="179"/>
      <c r="B76" s="180"/>
      <c r="C76" s="181"/>
      <c r="D76" s="182"/>
      <c r="E76" s="182"/>
      <c r="F76" s="182"/>
    </row>
    <row r="77" spans="1:9" s="44" customFormat="1">
      <c r="A77" s="179"/>
      <c r="B77" s="180"/>
      <c r="C77" s="181"/>
      <c r="D77" s="182"/>
      <c r="E77" s="182"/>
      <c r="F77" s="182"/>
    </row>
    <row r="78" spans="1:9" s="44" customFormat="1">
      <c r="A78" s="179"/>
      <c r="B78" s="180"/>
      <c r="C78" s="181"/>
      <c r="D78" s="182"/>
      <c r="E78" s="182"/>
      <c r="F78" s="182"/>
    </row>
    <row r="79" spans="1:9" s="44" customFormat="1">
      <c r="A79" s="179"/>
      <c r="B79" s="180"/>
      <c r="C79" s="181"/>
      <c r="D79" s="182"/>
      <c r="E79" s="182"/>
      <c r="F79" s="182"/>
    </row>
    <row r="80" spans="1:9" s="44" customFormat="1">
      <c r="A80" s="179"/>
      <c r="B80" s="180"/>
      <c r="C80" s="181"/>
      <c r="D80" s="182"/>
      <c r="E80" s="182"/>
      <c r="F80" s="182"/>
    </row>
    <row r="81" spans="1:6" s="44" customFormat="1">
      <c r="A81" s="179"/>
      <c r="B81" s="180"/>
      <c r="C81" s="181"/>
      <c r="D81" s="182"/>
      <c r="E81" s="182"/>
      <c r="F81" s="182"/>
    </row>
    <row r="82" spans="1:6" s="44" customFormat="1">
      <c r="A82" s="179"/>
      <c r="B82" s="180"/>
      <c r="C82" s="181"/>
      <c r="D82" s="182"/>
      <c r="E82" s="182"/>
      <c r="F82" s="182"/>
    </row>
    <row r="83" spans="1:6" s="44" customFormat="1">
      <c r="A83" s="179"/>
      <c r="B83" s="180"/>
      <c r="C83" s="181"/>
      <c r="D83" s="182"/>
      <c r="E83" s="182"/>
      <c r="F83" s="182"/>
    </row>
    <row r="84" spans="1:6" s="44" customFormat="1" ht="22.5" customHeight="1">
      <c r="A84" s="179"/>
      <c r="B84" s="180"/>
      <c r="C84" s="181"/>
      <c r="D84" s="182"/>
      <c r="E84" s="182"/>
      <c r="F84" s="182"/>
    </row>
    <row r="85" spans="1:6" s="44" customFormat="1" ht="22.5" customHeight="1">
      <c r="A85" s="179"/>
      <c r="B85" s="180"/>
      <c r="C85" s="181"/>
      <c r="D85" s="182"/>
      <c r="E85" s="182"/>
      <c r="F85" s="182"/>
    </row>
    <row r="86" spans="1:6" s="44" customFormat="1">
      <c r="A86" s="179"/>
      <c r="B86" s="180"/>
      <c r="C86" s="181"/>
      <c r="D86" s="182"/>
      <c r="E86" s="182"/>
      <c r="F86" s="182"/>
    </row>
    <row r="87" spans="1:6" s="44" customFormat="1">
      <c r="A87" s="179"/>
      <c r="B87" s="180"/>
      <c r="C87" s="181"/>
      <c r="D87" s="182"/>
      <c r="E87" s="182"/>
      <c r="F87" s="182"/>
    </row>
    <row r="88" spans="1:6" s="44" customFormat="1">
      <c r="A88" s="179"/>
      <c r="B88" s="180"/>
      <c r="C88" s="181"/>
      <c r="D88" s="182"/>
      <c r="E88" s="182"/>
      <c r="F88" s="182"/>
    </row>
    <row r="89" spans="1:6" s="44" customFormat="1" ht="57.75" customHeight="1">
      <c r="A89" s="179"/>
      <c r="B89" s="180"/>
      <c r="C89" s="181"/>
      <c r="D89" s="182"/>
      <c r="E89" s="182"/>
      <c r="F89" s="182"/>
    </row>
    <row r="90" spans="1:6" s="44" customFormat="1">
      <c r="A90" s="179"/>
      <c r="B90" s="180"/>
      <c r="C90" s="181"/>
      <c r="D90" s="182"/>
      <c r="E90" s="182"/>
      <c r="F90" s="182"/>
    </row>
    <row r="91" spans="1:6" s="44" customFormat="1">
      <c r="A91" s="179"/>
      <c r="B91" s="180"/>
      <c r="C91" s="181"/>
      <c r="D91" s="182"/>
      <c r="E91" s="182"/>
      <c r="F91" s="182"/>
    </row>
    <row r="92" spans="1:6" s="44" customFormat="1">
      <c r="A92" s="179"/>
      <c r="B92" s="180"/>
      <c r="C92" s="181"/>
      <c r="D92" s="182"/>
      <c r="E92" s="182"/>
      <c r="F92" s="182"/>
    </row>
    <row r="93" spans="1:6" s="44" customFormat="1" ht="36" customHeight="1">
      <c r="A93" s="179"/>
      <c r="B93" s="180"/>
      <c r="C93" s="181"/>
      <c r="D93" s="182"/>
      <c r="E93" s="182"/>
      <c r="F93" s="182"/>
    </row>
    <row r="94" spans="1:6" s="44" customFormat="1" ht="36" customHeight="1">
      <c r="A94" s="179"/>
      <c r="B94" s="180"/>
      <c r="C94" s="181"/>
      <c r="D94" s="182"/>
      <c r="E94" s="182"/>
      <c r="F94" s="182"/>
    </row>
    <row r="95" spans="1:6" s="44" customFormat="1">
      <c r="A95" s="179"/>
      <c r="B95" s="180"/>
      <c r="C95" s="181"/>
      <c r="D95" s="182"/>
      <c r="E95" s="182"/>
      <c r="F95" s="182"/>
    </row>
    <row r="96" spans="1:6" s="44" customFormat="1">
      <c r="A96" s="179"/>
      <c r="B96" s="180"/>
      <c r="C96" s="181"/>
      <c r="D96" s="182"/>
      <c r="E96" s="182"/>
      <c r="F96" s="182"/>
    </row>
    <row r="97" spans="1:6" s="44" customFormat="1">
      <c r="A97" s="179"/>
      <c r="B97" s="180"/>
      <c r="C97" s="181"/>
      <c r="D97" s="182"/>
      <c r="E97" s="182"/>
      <c r="F97" s="182"/>
    </row>
    <row r="98" spans="1:6" s="44" customFormat="1">
      <c r="A98" s="179"/>
      <c r="B98" s="180"/>
      <c r="C98" s="181"/>
      <c r="D98" s="182"/>
      <c r="E98" s="182"/>
      <c r="F98" s="182"/>
    </row>
    <row r="99" spans="1:6" s="44" customFormat="1">
      <c r="A99" s="179"/>
      <c r="B99" s="180"/>
      <c r="C99" s="181"/>
      <c r="D99" s="182"/>
      <c r="E99" s="182"/>
      <c r="F99" s="182"/>
    </row>
    <row r="100" spans="1:6" s="44" customFormat="1">
      <c r="A100" s="179"/>
      <c r="B100" s="180"/>
      <c r="C100" s="181"/>
      <c r="D100" s="182"/>
      <c r="E100" s="182"/>
      <c r="F100" s="182"/>
    </row>
    <row r="101" spans="1:6" s="44" customFormat="1" ht="36" customHeight="1">
      <c r="A101" s="179"/>
      <c r="B101" s="180"/>
      <c r="C101" s="181"/>
      <c r="D101" s="182"/>
      <c r="E101" s="182"/>
      <c r="F101" s="182"/>
    </row>
    <row r="102" spans="1:6" s="44" customFormat="1">
      <c r="A102" s="179"/>
      <c r="B102" s="180"/>
      <c r="C102" s="181"/>
      <c r="D102" s="182"/>
      <c r="E102" s="182"/>
      <c r="F102" s="182"/>
    </row>
    <row r="103" spans="1:6" s="44" customFormat="1">
      <c r="A103" s="179"/>
      <c r="B103" s="180"/>
      <c r="C103" s="181"/>
      <c r="D103" s="182"/>
      <c r="E103" s="182"/>
      <c r="F103" s="182"/>
    </row>
    <row r="104" spans="1:6" s="44" customFormat="1" ht="69.75" customHeight="1">
      <c r="A104" s="179"/>
      <c r="B104" s="180"/>
      <c r="C104" s="181"/>
      <c r="D104" s="182"/>
      <c r="E104" s="182"/>
      <c r="F104" s="182"/>
    </row>
    <row r="105" spans="1:6" s="44" customFormat="1">
      <c r="A105" s="179"/>
      <c r="B105" s="180"/>
      <c r="C105" s="181"/>
      <c r="D105" s="182"/>
      <c r="E105" s="182"/>
      <c r="F105" s="182"/>
    </row>
    <row r="106" spans="1:6" s="44" customFormat="1">
      <c r="A106" s="179"/>
      <c r="B106" s="180"/>
      <c r="C106" s="181"/>
      <c r="D106" s="182"/>
      <c r="E106" s="182"/>
      <c r="F106" s="182"/>
    </row>
    <row r="107" spans="1:6" s="44" customFormat="1" ht="24.75" customHeight="1">
      <c r="A107" s="179"/>
      <c r="B107" s="180"/>
      <c r="C107" s="181"/>
      <c r="D107" s="182"/>
      <c r="E107" s="182"/>
      <c r="F107" s="182"/>
    </row>
    <row r="108" spans="1:6" s="44" customFormat="1">
      <c r="A108" s="179"/>
      <c r="B108" s="180"/>
      <c r="C108" s="181"/>
      <c r="D108" s="182"/>
      <c r="E108" s="182"/>
      <c r="F108" s="182"/>
    </row>
    <row r="109" spans="1:6" s="44" customFormat="1" ht="23.25" customHeight="1">
      <c r="A109" s="179"/>
      <c r="B109" s="180"/>
      <c r="C109" s="181"/>
      <c r="D109" s="182"/>
      <c r="E109" s="182"/>
      <c r="F109" s="182"/>
    </row>
    <row r="110" spans="1:6" s="44" customFormat="1">
      <c r="A110" s="179"/>
      <c r="B110" s="180"/>
      <c r="C110" s="181"/>
      <c r="D110" s="182"/>
      <c r="E110" s="182"/>
      <c r="F110" s="182"/>
    </row>
    <row r="111" spans="1:6" s="44" customFormat="1">
      <c r="A111" s="179"/>
      <c r="B111" s="180"/>
      <c r="C111" s="181"/>
      <c r="D111" s="182"/>
      <c r="E111" s="182"/>
      <c r="F111" s="182"/>
    </row>
    <row r="112" spans="1:6" s="44" customFormat="1">
      <c r="A112" s="179"/>
      <c r="B112" s="180"/>
      <c r="C112" s="181"/>
      <c r="D112" s="182"/>
      <c r="E112" s="182"/>
      <c r="F112" s="182"/>
    </row>
    <row r="113" spans="1:9" s="44" customFormat="1">
      <c r="A113" s="179"/>
      <c r="B113" s="180"/>
      <c r="C113" s="181"/>
      <c r="D113" s="182"/>
      <c r="E113" s="182"/>
      <c r="F113" s="182"/>
    </row>
    <row r="114" spans="1:9" s="44" customFormat="1">
      <c r="A114" s="179"/>
      <c r="B114" s="180"/>
      <c r="C114" s="181"/>
      <c r="D114" s="182"/>
      <c r="E114" s="182"/>
      <c r="F114" s="182"/>
    </row>
    <row r="115" spans="1:9" s="44" customFormat="1">
      <c r="A115" s="179"/>
      <c r="B115" s="180"/>
      <c r="C115" s="181"/>
      <c r="D115" s="182"/>
      <c r="E115" s="182"/>
      <c r="F115" s="182"/>
    </row>
    <row r="116" spans="1:9" s="44" customFormat="1">
      <c r="A116" s="179"/>
      <c r="B116" s="180"/>
      <c r="C116" s="181"/>
      <c r="D116" s="182"/>
      <c r="E116" s="182"/>
      <c r="F116" s="182"/>
    </row>
    <row r="117" spans="1:9" s="44" customFormat="1">
      <c r="A117" s="179"/>
      <c r="B117" s="180"/>
      <c r="C117" s="181"/>
      <c r="D117" s="182"/>
      <c r="E117" s="182"/>
      <c r="F117" s="182"/>
    </row>
    <row r="118" spans="1:9" s="44" customFormat="1">
      <c r="A118" s="179"/>
      <c r="B118" s="180"/>
      <c r="C118" s="181"/>
      <c r="D118" s="182"/>
      <c r="E118" s="182"/>
      <c r="F118" s="182"/>
    </row>
    <row r="119" spans="1:9" s="44" customFormat="1">
      <c r="A119" s="179"/>
      <c r="B119" s="180"/>
      <c r="C119" s="181"/>
      <c r="D119" s="182"/>
      <c r="E119" s="182"/>
      <c r="F119" s="182"/>
    </row>
    <row r="120" spans="1:9" s="44" customFormat="1">
      <c r="A120" s="179"/>
      <c r="B120" s="180"/>
      <c r="C120" s="181"/>
      <c r="D120" s="182"/>
      <c r="E120" s="182"/>
      <c r="F120" s="182"/>
    </row>
    <row r="121" spans="1:9" s="44" customFormat="1">
      <c r="A121" s="179"/>
      <c r="B121" s="180"/>
      <c r="C121" s="181"/>
      <c r="D121" s="182"/>
      <c r="E121" s="182"/>
      <c r="F121" s="182"/>
    </row>
    <row r="122" spans="1:9" s="44" customFormat="1">
      <c r="A122" s="179"/>
      <c r="B122" s="180"/>
      <c r="C122" s="181"/>
      <c r="D122" s="182"/>
      <c r="E122" s="182"/>
      <c r="F122" s="182"/>
    </row>
    <row r="123" spans="1:9" s="44" customFormat="1">
      <c r="A123" s="179"/>
      <c r="B123" s="180"/>
      <c r="C123" s="181"/>
      <c r="D123" s="182"/>
      <c r="E123" s="182"/>
      <c r="F123" s="182"/>
    </row>
    <row r="124" spans="1:9" s="44" customFormat="1">
      <c r="A124" s="179"/>
      <c r="B124" s="180"/>
      <c r="C124" s="181"/>
      <c r="D124" s="182"/>
      <c r="E124" s="182"/>
      <c r="F124" s="182"/>
    </row>
    <row r="125" spans="1:9" s="44" customFormat="1">
      <c r="A125" s="179"/>
      <c r="B125" s="180"/>
      <c r="C125" s="181"/>
      <c r="D125" s="182"/>
      <c r="E125" s="182"/>
      <c r="F125" s="182"/>
    </row>
    <row r="126" spans="1:9" s="44" customFormat="1">
      <c r="A126" s="179"/>
      <c r="B126" s="180"/>
      <c r="C126" s="181"/>
      <c r="D126" s="182"/>
      <c r="E126" s="182"/>
      <c r="F126" s="182"/>
    </row>
    <row r="127" spans="1:9" s="44" customFormat="1">
      <c r="A127" s="179"/>
      <c r="B127" s="180"/>
      <c r="C127" s="181"/>
      <c r="D127" s="182"/>
      <c r="E127" s="182"/>
      <c r="F127" s="182"/>
    </row>
    <row r="128" spans="1:9">
      <c r="G128" s="44"/>
      <c r="H128" s="44"/>
      <c r="I128" s="44"/>
    </row>
    <row r="129" spans="1:9" s="48" customFormat="1" ht="18.75">
      <c r="A129" s="179"/>
      <c r="B129" s="180"/>
      <c r="C129" s="181"/>
      <c r="D129" s="182"/>
      <c r="E129" s="182"/>
      <c r="F129" s="182"/>
      <c r="G129" s="45"/>
      <c r="H129" s="45"/>
      <c r="I129" s="45"/>
    </row>
    <row r="130" spans="1:9" ht="18.75">
      <c r="G130" s="48"/>
      <c r="H130" s="48"/>
      <c r="I130" s="48"/>
    </row>
    <row r="131" spans="1:9" s="48" customFormat="1" ht="18.75">
      <c r="A131" s="179"/>
      <c r="B131" s="180"/>
      <c r="C131" s="181"/>
      <c r="D131" s="182"/>
      <c r="E131" s="182"/>
      <c r="F131" s="182"/>
      <c r="G131" s="45"/>
      <c r="H131" s="45"/>
      <c r="I131" s="45"/>
    </row>
    <row r="132" spans="1:9" ht="18.75">
      <c r="G132" s="48"/>
      <c r="H132" s="48"/>
      <c r="I132" s="48"/>
    </row>
    <row r="150" spans="1:9" s="46" customFormat="1">
      <c r="A150" s="179"/>
      <c r="B150" s="180"/>
      <c r="C150" s="181"/>
      <c r="D150" s="182"/>
      <c r="E150" s="182"/>
      <c r="F150" s="182"/>
      <c r="G150" s="45"/>
      <c r="H150" s="45"/>
      <c r="I150" s="45"/>
    </row>
    <row r="151" spans="1:9" s="46" customFormat="1">
      <c r="A151" s="179"/>
      <c r="B151" s="180"/>
      <c r="C151" s="181"/>
      <c r="D151" s="182"/>
      <c r="E151" s="182"/>
      <c r="F151" s="182"/>
    </row>
    <row r="152" spans="1:9">
      <c r="G152" s="46"/>
      <c r="H152" s="46"/>
      <c r="I152" s="46"/>
    </row>
  </sheetData>
  <protectedRanges>
    <protectedRange sqref="E60" name="Obseg1_4"/>
  </protectedRanges>
  <mergeCells count="1">
    <mergeCell ref="I17:I18"/>
  </mergeCells>
  <phoneticPr fontId="5" type="noConversion"/>
  <pageMargins left="0.7" right="0.7" top="0.75" bottom="0.75" header="0.3" footer="0.3"/>
  <pageSetup paperSize="9" scale="72" fitToHeight="0" orientation="portrait" r:id="rId1"/>
  <rowBreaks count="2" manualBreakCount="2">
    <brk id="38" max="5" man="1"/>
    <brk id="5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G128"/>
  <sheetViews>
    <sheetView view="pageBreakPreview" topLeftCell="A40" zoomScaleNormal="100" zoomScaleSheetLayoutView="100" workbookViewId="0">
      <selection activeCell="E55" sqref="E55"/>
    </sheetView>
  </sheetViews>
  <sheetFormatPr defaultColWidth="9.140625" defaultRowHeight="12"/>
  <cols>
    <col min="1" max="1" width="6.140625" style="78" bestFit="1" customWidth="1"/>
    <col min="2" max="2" width="65.7109375" style="79" customWidth="1"/>
    <col min="3" max="3" width="5" style="45" customWidth="1"/>
    <col min="4" max="4" width="10.28515625" style="46" customWidth="1"/>
    <col min="5" max="5" width="10.5703125" style="46" customWidth="1"/>
    <col min="6" max="6" width="12" style="46" customWidth="1"/>
    <col min="7" max="16384" width="9.140625" style="45"/>
  </cols>
  <sheetData>
    <row r="1" spans="1:6" s="43" customFormat="1" ht="23.25">
      <c r="A1" s="68"/>
      <c r="B1" s="193" t="s">
        <v>293</v>
      </c>
      <c r="C1" s="193"/>
      <c r="D1" s="193"/>
      <c r="E1" s="193"/>
      <c r="F1" s="69"/>
    </row>
    <row r="2" spans="1:6" s="44" customFormat="1" ht="60.75" customHeight="1">
      <c r="A2" s="52"/>
      <c r="B2" s="61" t="s">
        <v>28</v>
      </c>
      <c r="C2" s="53"/>
      <c r="D2" s="54"/>
      <c r="E2" s="54"/>
      <c r="F2" s="55"/>
    </row>
    <row r="3" spans="1:6" s="44" customFormat="1" ht="45.75" customHeight="1">
      <c r="A3" s="56"/>
      <c r="B3" s="62" t="s">
        <v>29</v>
      </c>
      <c r="C3" s="63"/>
      <c r="D3" s="64"/>
      <c r="E3" s="64"/>
      <c r="F3" s="57"/>
    </row>
    <row r="4" spans="1:6" s="44" customFormat="1" ht="71.25" customHeight="1">
      <c r="A4" s="56"/>
      <c r="B4" s="62" t="s">
        <v>30</v>
      </c>
      <c r="C4" s="63"/>
      <c r="D4" s="64"/>
      <c r="E4" s="64"/>
      <c r="F4" s="57"/>
    </row>
    <row r="5" spans="1:6" s="44" customFormat="1" ht="45.75" customHeight="1">
      <c r="A5" s="56"/>
      <c r="B5" s="62" t="s">
        <v>31</v>
      </c>
      <c r="C5" s="63"/>
      <c r="D5" s="64"/>
      <c r="E5" s="64"/>
      <c r="F5" s="57"/>
    </row>
    <row r="6" spans="1:6" s="44" customFormat="1" ht="90.75" customHeight="1">
      <c r="A6" s="56"/>
      <c r="B6" s="62" t="s">
        <v>32</v>
      </c>
      <c r="C6" s="63"/>
      <c r="D6" s="64"/>
      <c r="E6" s="64"/>
      <c r="F6" s="57"/>
    </row>
    <row r="7" spans="1:6" s="44" customFormat="1" ht="37.5" customHeight="1">
      <c r="A7" s="56"/>
      <c r="B7" s="62" t="s">
        <v>33</v>
      </c>
      <c r="C7" s="63"/>
      <c r="D7" s="64"/>
      <c r="E7" s="64"/>
      <c r="F7" s="57"/>
    </row>
    <row r="8" spans="1:6" s="44" customFormat="1" ht="147" customHeight="1">
      <c r="A8" s="56"/>
      <c r="B8" s="62" t="s">
        <v>34</v>
      </c>
      <c r="C8" s="63"/>
      <c r="D8" s="64"/>
      <c r="E8" s="64"/>
      <c r="F8" s="57"/>
    </row>
    <row r="9" spans="1:6" s="44" customFormat="1" ht="26.25" customHeight="1">
      <c r="A9" s="56"/>
      <c r="B9" s="116" t="s">
        <v>35</v>
      </c>
      <c r="C9" s="63"/>
      <c r="D9" s="64"/>
      <c r="E9" s="64"/>
      <c r="F9" s="57"/>
    </row>
    <row r="10" spans="1:6" s="44" customFormat="1">
      <c r="A10" s="117"/>
      <c r="B10" s="118"/>
      <c r="C10" s="119" t="s">
        <v>11</v>
      </c>
      <c r="D10" s="120" t="s">
        <v>12</v>
      </c>
      <c r="E10" s="120" t="s">
        <v>13</v>
      </c>
      <c r="F10" s="121" t="s">
        <v>14</v>
      </c>
    </row>
    <row r="11" spans="1:6" s="47" customFormat="1" ht="15">
      <c r="A11" s="122" t="s">
        <v>133</v>
      </c>
      <c r="B11" s="123" t="s">
        <v>0</v>
      </c>
      <c r="C11" s="124"/>
      <c r="D11" s="125"/>
      <c r="E11" s="125"/>
      <c r="F11" s="71">
        <f>SUM(F12:F18)</f>
        <v>0</v>
      </c>
    </row>
    <row r="12" spans="1:6" s="70" customFormat="1" ht="105">
      <c r="A12" s="72" t="s">
        <v>134</v>
      </c>
      <c r="B12" s="65" t="s">
        <v>87</v>
      </c>
      <c r="C12" s="73" t="s">
        <v>15</v>
      </c>
      <c r="D12" s="74">
        <v>1</v>
      </c>
      <c r="E12" s="75"/>
      <c r="F12" s="75">
        <f>ROUND(D12*E12,2)</f>
        <v>0</v>
      </c>
    </row>
    <row r="13" spans="1:6" s="44" customFormat="1" ht="36.6" customHeight="1">
      <c r="A13" s="72" t="s">
        <v>135</v>
      </c>
      <c r="B13" s="96" t="s">
        <v>127</v>
      </c>
      <c r="C13" s="73" t="s">
        <v>17</v>
      </c>
      <c r="D13" s="74">
        <v>1</v>
      </c>
      <c r="E13" s="75"/>
      <c r="F13" s="75">
        <f t="shared" ref="F13:F14" si="0">ROUND(D13*E13,2)</f>
        <v>0</v>
      </c>
    </row>
    <row r="14" spans="1:6" s="44" customFormat="1" ht="15.95" customHeight="1">
      <c r="A14" s="72" t="s">
        <v>136</v>
      </c>
      <c r="B14" s="126" t="s">
        <v>93</v>
      </c>
      <c r="C14" s="127" t="s">
        <v>17</v>
      </c>
      <c r="D14" s="74">
        <v>5</v>
      </c>
      <c r="E14" s="75"/>
      <c r="F14" s="75">
        <f t="shared" si="0"/>
        <v>0</v>
      </c>
    </row>
    <row r="15" spans="1:6" s="44" customFormat="1" ht="106.5" customHeight="1">
      <c r="A15" s="72" t="s">
        <v>137</v>
      </c>
      <c r="B15" s="65" t="s">
        <v>128</v>
      </c>
      <c r="C15" s="73" t="s">
        <v>15</v>
      </c>
      <c r="D15" s="74">
        <v>1</v>
      </c>
      <c r="E15" s="75"/>
      <c r="F15" s="75">
        <f>ROUND(D15*E15,2)</f>
        <v>0</v>
      </c>
    </row>
    <row r="16" spans="1:6" s="44" customFormat="1" ht="48" customHeight="1">
      <c r="A16" s="72" t="s">
        <v>138</v>
      </c>
      <c r="B16" s="65" t="s">
        <v>98</v>
      </c>
      <c r="C16" s="73" t="s">
        <v>15</v>
      </c>
      <c r="D16" s="74">
        <v>2</v>
      </c>
      <c r="E16" s="75"/>
      <c r="F16" s="75">
        <f t="shared" ref="F16:F18" si="1">ROUND(D16*E16,2)</f>
        <v>0</v>
      </c>
    </row>
    <row r="17" spans="1:7" s="44" customFormat="1" ht="33" customHeight="1">
      <c r="A17" s="72" t="s">
        <v>139</v>
      </c>
      <c r="B17" s="65" t="s">
        <v>99</v>
      </c>
      <c r="C17" s="73" t="s">
        <v>100</v>
      </c>
      <c r="D17" s="74">
        <v>1</v>
      </c>
      <c r="E17" s="75"/>
      <c r="F17" s="75">
        <f t="shared" si="1"/>
        <v>0</v>
      </c>
      <c r="G17" s="76"/>
    </row>
    <row r="18" spans="1:7" s="44" customFormat="1" ht="20.100000000000001" customHeight="1">
      <c r="A18" s="72" t="s">
        <v>140</v>
      </c>
      <c r="B18" s="65" t="s">
        <v>101</v>
      </c>
      <c r="C18" s="73" t="s">
        <v>17</v>
      </c>
      <c r="D18" s="74">
        <v>4</v>
      </c>
      <c r="E18" s="75"/>
      <c r="F18" s="75">
        <f t="shared" si="1"/>
        <v>0</v>
      </c>
    </row>
    <row r="19" spans="1:7" s="44" customFormat="1" ht="20.100000000000001" customHeight="1">
      <c r="A19" s="85" t="s">
        <v>141</v>
      </c>
      <c r="B19" s="86" t="s">
        <v>1</v>
      </c>
      <c r="C19" s="87"/>
      <c r="D19" s="88"/>
      <c r="E19" s="88"/>
      <c r="F19" s="71">
        <f>SUM(F20:F26)</f>
        <v>0</v>
      </c>
    </row>
    <row r="20" spans="1:7" s="44" customFormat="1" ht="34.5" customHeight="1">
      <c r="A20" s="72" t="s">
        <v>142</v>
      </c>
      <c r="B20" s="65" t="s">
        <v>36</v>
      </c>
      <c r="C20" s="73" t="s">
        <v>21</v>
      </c>
      <c r="D20" s="74">
        <v>6</v>
      </c>
      <c r="E20" s="75"/>
      <c r="F20" s="75">
        <f>ROUND(D20*E20,2)</f>
        <v>0</v>
      </c>
    </row>
    <row r="21" spans="1:7" s="44" customFormat="1" ht="18" customHeight="1">
      <c r="A21" s="72" t="s">
        <v>143</v>
      </c>
      <c r="B21" s="51" t="s">
        <v>86</v>
      </c>
      <c r="C21" s="58" t="s">
        <v>2</v>
      </c>
      <c r="D21" s="59">
        <f>(16.8*6+
(5+5+16+14.5)*(1+1.5)+
(17.5+15.5)*(4*0.6))*1.2</f>
        <v>337.5</v>
      </c>
      <c r="E21" s="60"/>
      <c r="F21" s="60">
        <f t="shared" ref="F21:F26" si="2">ROUND(D21*E21,2)</f>
        <v>0</v>
      </c>
    </row>
    <row r="22" spans="1:7" s="44" customFormat="1" ht="18" customHeight="1">
      <c r="A22" s="72" t="s">
        <v>144</v>
      </c>
      <c r="B22" s="51" t="s">
        <v>37</v>
      </c>
      <c r="C22" s="58" t="s">
        <v>2</v>
      </c>
      <c r="D22" s="59">
        <f>D21*0.02</f>
        <v>6.75</v>
      </c>
      <c r="E22" s="60"/>
      <c r="F22" s="60">
        <f t="shared" si="2"/>
        <v>0</v>
      </c>
    </row>
    <row r="23" spans="1:7" s="47" customFormat="1" ht="17.45" customHeight="1">
      <c r="A23" s="72" t="s">
        <v>145</v>
      </c>
      <c r="B23" s="51" t="s">
        <v>38</v>
      </c>
      <c r="C23" s="90" t="s">
        <v>2</v>
      </c>
      <c r="D23" s="59">
        <f>5.5*5</f>
        <v>27.5</v>
      </c>
      <c r="E23" s="60"/>
      <c r="F23" s="60">
        <f t="shared" si="2"/>
        <v>0</v>
      </c>
    </row>
    <row r="24" spans="1:7" s="44" customFormat="1" ht="21" customHeight="1">
      <c r="A24" s="72" t="s">
        <v>146</v>
      </c>
      <c r="B24" s="51" t="s">
        <v>89</v>
      </c>
      <c r="C24" s="90" t="s">
        <v>2</v>
      </c>
      <c r="D24" s="59">
        <f>(5+5+16+14.5)*(0.75)</f>
        <v>30.375</v>
      </c>
      <c r="E24" s="60"/>
      <c r="F24" s="60">
        <f t="shared" si="2"/>
        <v>0</v>
      </c>
    </row>
    <row r="25" spans="1:7" s="44" customFormat="1" ht="30">
      <c r="A25" s="72" t="s">
        <v>147</v>
      </c>
      <c r="B25" s="51" t="s">
        <v>88</v>
      </c>
      <c r="C25" s="58" t="s">
        <v>2</v>
      </c>
      <c r="D25" s="59">
        <f>(D21+D22-D23-D24)</f>
        <v>286.375</v>
      </c>
      <c r="E25" s="60"/>
      <c r="F25" s="60">
        <f t="shared" si="2"/>
        <v>0</v>
      </c>
    </row>
    <row r="26" spans="1:7" s="44" customFormat="1" ht="15">
      <c r="A26" s="72" t="s">
        <v>148</v>
      </c>
      <c r="B26" s="51" t="s">
        <v>39</v>
      </c>
      <c r="C26" s="58" t="s">
        <v>4</v>
      </c>
      <c r="D26" s="59">
        <f>(5+5+16+14.5)*(2)+
(17.5+15.5)*1*2</f>
        <v>147</v>
      </c>
      <c r="E26" s="60"/>
      <c r="F26" s="60">
        <f t="shared" si="2"/>
        <v>0</v>
      </c>
    </row>
    <row r="27" spans="1:7" s="44" customFormat="1" ht="18.95" customHeight="1">
      <c r="A27" s="85" t="s">
        <v>149</v>
      </c>
      <c r="B27" s="86" t="s">
        <v>3</v>
      </c>
      <c r="C27" s="87"/>
      <c r="D27" s="88"/>
      <c r="E27" s="88"/>
      <c r="F27" s="71">
        <f>SUM(F28:F37)</f>
        <v>0</v>
      </c>
    </row>
    <row r="28" spans="1:7" s="44" customFormat="1" ht="30">
      <c r="A28" s="97" t="s">
        <v>150</v>
      </c>
      <c r="B28" s="65" t="s">
        <v>40</v>
      </c>
      <c r="C28" s="73" t="s">
        <v>4</v>
      </c>
      <c r="D28" s="75">
        <f>0.2*5.4*2+0.2*2.8*2+
0.1*2.4*2+0.1*5*2</f>
        <v>4.76</v>
      </c>
      <c r="E28" s="75"/>
      <c r="F28" s="75">
        <f t="shared" ref="F28:F36" si="3">ROUND(D28*E28,2)</f>
        <v>0</v>
      </c>
    </row>
    <row r="29" spans="1:7" s="44" customFormat="1" ht="30">
      <c r="A29" s="97" t="s">
        <v>151</v>
      </c>
      <c r="B29" s="65" t="s">
        <v>41</v>
      </c>
      <c r="C29" s="73" t="s">
        <v>4</v>
      </c>
      <c r="D29" s="75">
        <f>0.5*0.5*4+0.5*2.4*4</f>
        <v>5.8</v>
      </c>
      <c r="E29" s="75"/>
      <c r="F29" s="75">
        <f t="shared" si="3"/>
        <v>0</v>
      </c>
    </row>
    <row r="30" spans="1:7" s="44" customFormat="1" ht="30.95" customHeight="1">
      <c r="A30" s="97" t="s">
        <v>152</v>
      </c>
      <c r="B30" s="65" t="s">
        <v>42</v>
      </c>
      <c r="C30" s="73" t="s">
        <v>2</v>
      </c>
      <c r="D30" s="74">
        <f>0.1*2.4*5+
0.5*0.5*2.4*2</f>
        <v>2.4</v>
      </c>
      <c r="E30" s="75"/>
      <c r="F30" s="75">
        <f t="shared" si="3"/>
        <v>0</v>
      </c>
    </row>
    <row r="31" spans="1:7" s="44" customFormat="1" ht="30.95" customHeight="1">
      <c r="A31" s="97" t="s">
        <v>153</v>
      </c>
      <c r="B31" s="65" t="s">
        <v>43</v>
      </c>
      <c r="C31" s="73" t="s">
        <v>2</v>
      </c>
      <c r="D31" s="74">
        <f>0.2*2.8*5.4</f>
        <v>3.024</v>
      </c>
      <c r="E31" s="75"/>
      <c r="F31" s="75">
        <f t="shared" si="3"/>
        <v>0</v>
      </c>
    </row>
    <row r="32" spans="1:7" s="70" customFormat="1" ht="16.5" customHeight="1">
      <c r="A32" s="97" t="s">
        <v>154</v>
      </c>
      <c r="B32" s="65" t="s">
        <v>179</v>
      </c>
      <c r="C32" s="73" t="s">
        <v>15</v>
      </c>
      <c r="D32" s="74">
        <v>5</v>
      </c>
      <c r="E32" s="75"/>
      <c r="F32" s="75">
        <f t="shared" si="3"/>
        <v>0</v>
      </c>
    </row>
    <row r="33" spans="1:6" s="44" customFormat="1" ht="15">
      <c r="A33" s="97" t="s">
        <v>155</v>
      </c>
      <c r="B33" s="65" t="s">
        <v>44</v>
      </c>
      <c r="C33" s="73" t="s">
        <v>21</v>
      </c>
      <c r="D33" s="74">
        <f>3*2</f>
        <v>6</v>
      </c>
      <c r="E33" s="75"/>
      <c r="F33" s="75">
        <f t="shared" si="3"/>
        <v>0</v>
      </c>
    </row>
    <row r="34" spans="1:6" s="44" customFormat="1" ht="30">
      <c r="A34" s="97" t="s">
        <v>156</v>
      </c>
      <c r="B34" s="65" t="s">
        <v>45</v>
      </c>
      <c r="C34" s="73" t="s">
        <v>20</v>
      </c>
      <c r="D34" s="74">
        <f>131.8*3</f>
        <v>395.40000000000003</v>
      </c>
      <c r="E34" s="75"/>
      <c r="F34" s="75">
        <f t="shared" si="3"/>
        <v>0</v>
      </c>
    </row>
    <row r="35" spans="1:6" s="44" customFormat="1" ht="33.75" customHeight="1">
      <c r="A35" s="97" t="s">
        <v>157</v>
      </c>
      <c r="B35" s="65" t="s">
        <v>47</v>
      </c>
      <c r="C35" s="73" t="s">
        <v>20</v>
      </c>
      <c r="D35" s="74">
        <f>103*4</f>
        <v>412</v>
      </c>
      <c r="E35" s="75"/>
      <c r="F35" s="75">
        <f t="shared" si="3"/>
        <v>0</v>
      </c>
    </row>
    <row r="36" spans="1:6" s="44" customFormat="1" ht="30">
      <c r="A36" s="97" t="s">
        <v>158</v>
      </c>
      <c r="B36" s="65" t="s">
        <v>46</v>
      </c>
      <c r="C36" s="73" t="s">
        <v>20</v>
      </c>
      <c r="D36" s="74">
        <f>(0.5*0.5*2.4*2)*75</f>
        <v>90</v>
      </c>
      <c r="E36" s="75"/>
      <c r="F36" s="75">
        <f t="shared" si="3"/>
        <v>0</v>
      </c>
    </row>
    <row r="37" spans="1:6" s="44" customFormat="1" ht="45">
      <c r="A37" s="97" t="s">
        <v>159</v>
      </c>
      <c r="B37" s="65" t="s">
        <v>119</v>
      </c>
      <c r="C37" s="73" t="s">
        <v>21</v>
      </c>
      <c r="D37" s="74">
        <f>16+8</f>
        <v>24</v>
      </c>
      <c r="E37" s="75"/>
      <c r="F37" s="75">
        <f>D37*E37</f>
        <v>0</v>
      </c>
    </row>
    <row r="38" spans="1:6" s="70" customFormat="1" ht="17.100000000000001" customHeight="1">
      <c r="A38" s="122" t="s">
        <v>160</v>
      </c>
      <c r="B38" s="128" t="s">
        <v>102</v>
      </c>
      <c r="C38" s="124"/>
      <c r="D38" s="125"/>
      <c r="E38" s="125"/>
      <c r="F38" s="129">
        <f>SUM(F39:F44)</f>
        <v>0</v>
      </c>
    </row>
    <row r="39" spans="1:6" s="70" customFormat="1" ht="48.6" customHeight="1">
      <c r="A39" s="130" t="s">
        <v>161</v>
      </c>
      <c r="B39" s="51" t="s">
        <v>103</v>
      </c>
      <c r="C39" s="58" t="s">
        <v>2</v>
      </c>
      <c r="D39" s="60">
        <f>(17.5+15.5)*0.2*4</f>
        <v>26.400000000000002</v>
      </c>
      <c r="E39" s="60"/>
      <c r="F39" s="60">
        <f t="shared" ref="F39:F44" si="4">ROUND(D39*E39,2)</f>
        <v>0</v>
      </c>
    </row>
    <row r="40" spans="1:6" s="77" customFormat="1" ht="48" customHeight="1">
      <c r="A40" s="130" t="s">
        <v>162</v>
      </c>
      <c r="B40" s="51" t="s">
        <v>104</v>
      </c>
      <c r="C40" s="58" t="s">
        <v>2</v>
      </c>
      <c r="D40" s="60">
        <f>(17.5+15.5)*0.4*4</f>
        <v>52.800000000000004</v>
      </c>
      <c r="E40" s="60"/>
      <c r="F40" s="60">
        <f t="shared" si="4"/>
        <v>0</v>
      </c>
    </row>
    <row r="41" spans="1:6" s="70" customFormat="1" ht="18" customHeight="1">
      <c r="A41" s="130" t="s">
        <v>163</v>
      </c>
      <c r="B41" s="51" t="s">
        <v>110</v>
      </c>
      <c r="C41" s="58" t="s">
        <v>4</v>
      </c>
      <c r="D41" s="60">
        <f>(17.5+15.5)*4</f>
        <v>132</v>
      </c>
      <c r="E41" s="60"/>
      <c r="F41" s="60">
        <f t="shared" si="4"/>
        <v>0</v>
      </c>
    </row>
    <row r="42" spans="1:6" s="47" customFormat="1" ht="30">
      <c r="A42" s="130" t="s">
        <v>164</v>
      </c>
      <c r="B42" s="51" t="s">
        <v>105</v>
      </c>
      <c r="C42" s="58" t="s">
        <v>4</v>
      </c>
      <c r="D42" s="59">
        <f>D41</f>
        <v>132</v>
      </c>
      <c r="E42" s="60"/>
      <c r="F42" s="60">
        <f t="shared" si="4"/>
        <v>0</v>
      </c>
    </row>
    <row r="43" spans="1:6" s="47" customFormat="1" ht="15">
      <c r="A43" s="130" t="s">
        <v>165</v>
      </c>
      <c r="B43" s="51" t="s">
        <v>106</v>
      </c>
      <c r="C43" s="58" t="s">
        <v>21</v>
      </c>
      <c r="D43" s="59">
        <f>5+3</f>
        <v>8</v>
      </c>
      <c r="E43" s="60"/>
      <c r="F43" s="60">
        <f t="shared" si="4"/>
        <v>0</v>
      </c>
    </row>
    <row r="44" spans="1:6" s="44" customFormat="1" ht="30">
      <c r="A44" s="130" t="s">
        <v>166</v>
      </c>
      <c r="B44" s="51" t="s">
        <v>107</v>
      </c>
      <c r="C44" s="58" t="s">
        <v>4</v>
      </c>
      <c r="D44" s="59">
        <f>(17.5+15.5)*0.5*2</f>
        <v>33</v>
      </c>
      <c r="E44" s="60"/>
      <c r="F44" s="60">
        <f t="shared" si="4"/>
        <v>0</v>
      </c>
    </row>
    <row r="45" spans="1:6" s="44" customFormat="1" ht="15">
      <c r="A45" s="85" t="s">
        <v>167</v>
      </c>
      <c r="B45" s="86" t="s">
        <v>16</v>
      </c>
      <c r="C45" s="87"/>
      <c r="D45" s="88"/>
      <c r="E45" s="88"/>
      <c r="F45" s="71">
        <f>SUM(F46:F51)</f>
        <v>0</v>
      </c>
    </row>
    <row r="46" spans="1:6" s="44" customFormat="1" ht="45">
      <c r="A46" s="91" t="s">
        <v>168</v>
      </c>
      <c r="B46" s="51" t="s">
        <v>118</v>
      </c>
      <c r="C46" s="90" t="s">
        <v>4</v>
      </c>
      <c r="D46" s="59">
        <f>0.6*5*2</f>
        <v>6</v>
      </c>
      <c r="E46" s="60"/>
      <c r="F46" s="60">
        <f>ROUND(D46*E46,2)</f>
        <v>0</v>
      </c>
    </row>
    <row r="47" spans="1:6" s="44" customFormat="1" ht="45">
      <c r="A47" s="91" t="s">
        <v>169</v>
      </c>
      <c r="B47" s="51" t="s">
        <v>53</v>
      </c>
      <c r="C47" s="90" t="s">
        <v>2</v>
      </c>
      <c r="D47" s="59">
        <f>((5+5+16+14.5)*(1+1.5))</f>
        <v>101.25</v>
      </c>
      <c r="E47" s="60"/>
      <c r="F47" s="60">
        <f t="shared" ref="F47:F51" si="5">ROUND(D47*E47,2)</f>
        <v>0</v>
      </c>
    </row>
    <row r="48" spans="1:6" s="44" customFormat="1" ht="30">
      <c r="A48" s="91" t="s">
        <v>170</v>
      </c>
      <c r="B48" s="51" t="s">
        <v>129</v>
      </c>
      <c r="C48" s="58" t="s">
        <v>2</v>
      </c>
      <c r="D48" s="60">
        <f>(1.5*1)*(2+2+2+3.5)</f>
        <v>14.25</v>
      </c>
      <c r="E48" s="60"/>
      <c r="F48" s="60">
        <f t="shared" si="5"/>
        <v>0</v>
      </c>
    </row>
    <row r="49" spans="1:6" s="44" customFormat="1" ht="30">
      <c r="A49" s="91" t="s">
        <v>171</v>
      </c>
      <c r="B49" s="51" t="s">
        <v>180</v>
      </c>
      <c r="C49" s="90" t="s">
        <v>15</v>
      </c>
      <c r="D49" s="59">
        <v>5</v>
      </c>
      <c r="E49" s="60"/>
      <c r="F49" s="60">
        <f t="shared" si="5"/>
        <v>0</v>
      </c>
    </row>
    <row r="50" spans="1:6" s="44" customFormat="1" ht="15">
      <c r="A50" s="91" t="s">
        <v>172</v>
      </c>
      <c r="B50" s="51" t="s">
        <v>120</v>
      </c>
      <c r="C50" s="58" t="s">
        <v>15</v>
      </c>
      <c r="D50" s="60">
        <v>2</v>
      </c>
      <c r="E50" s="60"/>
      <c r="F50" s="60">
        <f t="shared" si="5"/>
        <v>0</v>
      </c>
    </row>
    <row r="51" spans="1:6" s="44" customFormat="1" ht="30">
      <c r="A51" s="91" t="s">
        <v>173</v>
      </c>
      <c r="B51" s="51" t="s">
        <v>23</v>
      </c>
      <c r="C51" s="58" t="s">
        <v>15</v>
      </c>
      <c r="D51" s="59">
        <f>ROUNDUP((5+5+16+14.5),0)</f>
        <v>41</v>
      </c>
      <c r="E51" s="60"/>
      <c r="F51" s="60">
        <f t="shared" si="5"/>
        <v>0</v>
      </c>
    </row>
    <row r="52" spans="1:6" s="44" customFormat="1" ht="15">
      <c r="A52" s="85" t="s">
        <v>174</v>
      </c>
      <c r="B52" s="86" t="s">
        <v>5</v>
      </c>
      <c r="C52" s="87"/>
      <c r="D52" s="88"/>
      <c r="E52" s="88"/>
      <c r="F52" s="71">
        <f>SUM(F53:F55)</f>
        <v>0</v>
      </c>
    </row>
    <row r="53" spans="1:6" s="44" customFormat="1" ht="15">
      <c r="A53" s="72" t="s">
        <v>175</v>
      </c>
      <c r="B53" s="65" t="s">
        <v>18</v>
      </c>
      <c r="C53" s="73" t="s">
        <v>15</v>
      </c>
      <c r="D53" s="74">
        <v>1</v>
      </c>
      <c r="E53" s="75"/>
      <c r="F53" s="75">
        <f t="shared" ref="F53:F55" si="6">ROUND(D53*E53,2)</f>
        <v>0</v>
      </c>
    </row>
    <row r="54" spans="1:6" s="44" customFormat="1" ht="15">
      <c r="A54" s="72" t="s">
        <v>176</v>
      </c>
      <c r="B54" s="65" t="s">
        <v>111</v>
      </c>
      <c r="C54" s="73" t="s">
        <v>112</v>
      </c>
      <c r="D54" s="74">
        <v>12</v>
      </c>
      <c r="E54" s="75"/>
      <c r="F54" s="75">
        <f t="shared" ref="F54" si="7">D54*E54</f>
        <v>0</v>
      </c>
    </row>
    <row r="55" spans="1:6" s="44" customFormat="1" ht="15">
      <c r="A55" s="72" t="s">
        <v>177</v>
      </c>
      <c r="B55" s="65" t="s">
        <v>54</v>
      </c>
      <c r="C55" s="73" t="s">
        <v>55</v>
      </c>
      <c r="D55" s="74">
        <v>1</v>
      </c>
      <c r="E55" s="75">
        <f>(SUM(F53:F53)+F45+F27+F19+F38+F54+F11)*0.1</f>
        <v>0</v>
      </c>
      <c r="F55" s="75">
        <f t="shared" si="6"/>
        <v>0</v>
      </c>
    </row>
    <row r="56" spans="1:6" s="44" customFormat="1" ht="15">
      <c r="A56" s="92"/>
      <c r="B56" s="93" t="s">
        <v>52</v>
      </c>
      <c r="C56" s="94"/>
      <c r="D56" s="94"/>
      <c r="E56" s="94"/>
      <c r="F56" s="95">
        <f>F11+F19+F27+F45+F52+F38</f>
        <v>0</v>
      </c>
    </row>
    <row r="57" spans="1:6" s="44" customFormat="1">
      <c r="A57" s="78"/>
      <c r="B57" s="79"/>
      <c r="C57" s="45"/>
      <c r="D57" s="46"/>
      <c r="E57" s="46"/>
      <c r="F57" s="46"/>
    </row>
    <row r="58" spans="1:6" s="44" customFormat="1">
      <c r="A58" s="78"/>
      <c r="B58" s="79"/>
      <c r="C58" s="45"/>
      <c r="D58" s="46"/>
      <c r="E58" s="46"/>
      <c r="F58" s="46"/>
    </row>
    <row r="59" spans="1:6" s="44" customFormat="1">
      <c r="A59" s="78"/>
      <c r="B59" s="79"/>
      <c r="C59" s="45"/>
      <c r="D59" s="46"/>
      <c r="E59" s="46"/>
      <c r="F59" s="46"/>
    </row>
    <row r="60" spans="1:6" s="44" customFormat="1">
      <c r="A60" s="78"/>
      <c r="B60" s="79"/>
      <c r="C60" s="45"/>
      <c r="D60" s="46"/>
      <c r="E60" s="46"/>
      <c r="F60" s="46"/>
    </row>
    <row r="61" spans="1:6" s="44" customFormat="1" ht="22.5" customHeight="1">
      <c r="A61" s="78"/>
      <c r="B61" s="79"/>
      <c r="C61" s="45"/>
      <c r="D61" s="46"/>
      <c r="E61" s="46"/>
      <c r="F61" s="46"/>
    </row>
    <row r="62" spans="1:6" s="44" customFormat="1" ht="22.5" customHeight="1">
      <c r="A62" s="78"/>
      <c r="B62" s="79"/>
      <c r="C62" s="45"/>
      <c r="D62" s="46"/>
      <c r="E62" s="46"/>
      <c r="F62" s="46"/>
    </row>
    <row r="63" spans="1:6" s="44" customFormat="1">
      <c r="A63" s="78"/>
      <c r="B63" s="79"/>
      <c r="C63" s="45"/>
      <c r="D63" s="46"/>
      <c r="E63" s="46"/>
      <c r="F63" s="46"/>
    </row>
    <row r="64" spans="1:6" s="44" customFormat="1">
      <c r="A64" s="78"/>
      <c r="B64" s="79"/>
      <c r="C64" s="45"/>
      <c r="D64" s="46"/>
      <c r="E64" s="46"/>
      <c r="F64" s="46"/>
    </row>
    <row r="65" spans="1:6" s="44" customFormat="1">
      <c r="A65" s="78"/>
      <c r="B65" s="79"/>
      <c r="C65" s="45"/>
      <c r="D65" s="46"/>
      <c r="E65" s="46"/>
      <c r="F65" s="46"/>
    </row>
    <row r="66" spans="1:6" s="44" customFormat="1" ht="57.75" customHeight="1">
      <c r="A66" s="78"/>
      <c r="B66" s="79"/>
      <c r="C66" s="45"/>
      <c r="D66" s="46"/>
      <c r="E66" s="46"/>
      <c r="F66" s="46"/>
    </row>
    <row r="67" spans="1:6" s="44" customFormat="1">
      <c r="A67" s="78"/>
      <c r="B67" s="79"/>
      <c r="C67" s="45"/>
      <c r="D67" s="46"/>
      <c r="E67" s="46"/>
      <c r="F67" s="46"/>
    </row>
    <row r="68" spans="1:6" s="44" customFormat="1">
      <c r="A68" s="78"/>
      <c r="B68" s="79"/>
      <c r="C68" s="45"/>
      <c r="D68" s="46"/>
      <c r="E68" s="46"/>
      <c r="F68" s="46"/>
    </row>
    <row r="69" spans="1:6" s="44" customFormat="1">
      <c r="A69" s="78"/>
      <c r="B69" s="79"/>
      <c r="C69" s="45"/>
      <c r="D69" s="46"/>
      <c r="E69" s="46"/>
      <c r="F69" s="46"/>
    </row>
    <row r="70" spans="1:6" s="44" customFormat="1" ht="36" customHeight="1">
      <c r="A70" s="78"/>
      <c r="B70" s="79"/>
      <c r="C70" s="45"/>
      <c r="D70" s="46"/>
      <c r="E70" s="46"/>
      <c r="F70" s="46"/>
    </row>
    <row r="71" spans="1:6" s="44" customFormat="1" ht="36" customHeight="1">
      <c r="A71" s="78"/>
      <c r="B71" s="79"/>
      <c r="C71" s="45"/>
      <c r="D71" s="46"/>
      <c r="E71" s="46"/>
      <c r="F71" s="46"/>
    </row>
    <row r="72" spans="1:6" s="44" customFormat="1">
      <c r="A72" s="78"/>
      <c r="B72" s="79"/>
      <c r="C72" s="45"/>
      <c r="D72" s="46"/>
      <c r="E72" s="46"/>
      <c r="F72" s="46"/>
    </row>
    <row r="73" spans="1:6" s="44" customFormat="1">
      <c r="A73" s="78"/>
      <c r="B73" s="79"/>
      <c r="C73" s="45"/>
      <c r="D73" s="46"/>
      <c r="E73" s="46"/>
      <c r="F73" s="46"/>
    </row>
    <row r="74" spans="1:6" s="44" customFormat="1">
      <c r="A74" s="78"/>
      <c r="B74" s="79"/>
      <c r="C74" s="45"/>
      <c r="D74" s="46"/>
      <c r="E74" s="46"/>
      <c r="F74" s="46"/>
    </row>
    <row r="75" spans="1:6" s="44" customFormat="1">
      <c r="A75" s="78"/>
      <c r="B75" s="79"/>
      <c r="C75" s="45"/>
      <c r="D75" s="46"/>
      <c r="E75" s="46"/>
      <c r="F75" s="46"/>
    </row>
    <row r="76" spans="1:6" s="44" customFormat="1">
      <c r="A76" s="78"/>
      <c r="B76" s="79"/>
      <c r="C76" s="45"/>
      <c r="D76" s="46"/>
      <c r="E76" s="46"/>
      <c r="F76" s="46"/>
    </row>
    <row r="77" spans="1:6" s="44" customFormat="1">
      <c r="A77" s="78"/>
      <c r="B77" s="79"/>
      <c r="C77" s="45"/>
      <c r="D77" s="46"/>
      <c r="E77" s="46"/>
      <c r="F77" s="46"/>
    </row>
    <row r="78" spans="1:6" s="44" customFormat="1" ht="36" customHeight="1">
      <c r="A78" s="78"/>
      <c r="B78" s="79"/>
      <c r="C78" s="45"/>
      <c r="D78" s="46"/>
      <c r="E78" s="46"/>
      <c r="F78" s="46"/>
    </row>
    <row r="79" spans="1:6" s="44" customFormat="1">
      <c r="A79" s="78"/>
      <c r="B79" s="79"/>
      <c r="C79" s="45"/>
      <c r="D79" s="46"/>
      <c r="E79" s="46"/>
      <c r="F79" s="46"/>
    </row>
    <row r="80" spans="1:6" s="44" customFormat="1">
      <c r="A80" s="78"/>
      <c r="B80" s="79"/>
      <c r="C80" s="45"/>
      <c r="D80" s="46"/>
      <c r="E80" s="46"/>
      <c r="F80" s="46"/>
    </row>
    <row r="81" spans="1:6" s="44" customFormat="1" ht="69.75" customHeight="1">
      <c r="A81" s="78"/>
      <c r="B81" s="79"/>
      <c r="C81" s="45"/>
      <c r="D81" s="46"/>
      <c r="E81" s="46"/>
      <c r="F81" s="46"/>
    </row>
    <row r="82" spans="1:6" s="44" customFormat="1">
      <c r="A82" s="78"/>
      <c r="B82" s="79"/>
      <c r="C82" s="45"/>
      <c r="D82" s="46"/>
      <c r="E82" s="46"/>
      <c r="F82" s="46"/>
    </row>
    <row r="83" spans="1:6" s="44" customFormat="1">
      <c r="A83" s="78"/>
      <c r="B83" s="79"/>
      <c r="C83" s="45"/>
      <c r="D83" s="46"/>
      <c r="E83" s="46"/>
      <c r="F83" s="46"/>
    </row>
    <row r="84" spans="1:6" s="44" customFormat="1" ht="24.75" customHeight="1">
      <c r="A84" s="78"/>
      <c r="B84" s="79"/>
      <c r="C84" s="45"/>
      <c r="D84" s="46"/>
      <c r="E84" s="46"/>
      <c r="F84" s="46"/>
    </row>
    <row r="85" spans="1:6" s="44" customFormat="1">
      <c r="A85" s="78"/>
      <c r="B85" s="79"/>
      <c r="C85" s="45"/>
      <c r="D85" s="46"/>
      <c r="E85" s="46"/>
      <c r="F85" s="46"/>
    </row>
    <row r="86" spans="1:6" s="44" customFormat="1" ht="23.25" customHeight="1">
      <c r="A86" s="78"/>
      <c r="B86" s="79"/>
      <c r="C86" s="45"/>
      <c r="D86" s="46"/>
      <c r="E86" s="46"/>
      <c r="F86" s="46"/>
    </row>
    <row r="87" spans="1:6" s="44" customFormat="1">
      <c r="A87" s="78"/>
      <c r="B87" s="79"/>
      <c r="C87" s="45"/>
      <c r="D87" s="46"/>
      <c r="E87" s="46"/>
      <c r="F87" s="46"/>
    </row>
    <row r="88" spans="1:6" s="44" customFormat="1">
      <c r="A88" s="78"/>
      <c r="B88" s="79"/>
      <c r="C88" s="45"/>
      <c r="D88" s="46"/>
      <c r="E88" s="46"/>
      <c r="F88" s="46"/>
    </row>
    <row r="89" spans="1:6" s="44" customFormat="1">
      <c r="A89" s="78"/>
      <c r="B89" s="79"/>
      <c r="C89" s="45"/>
      <c r="D89" s="46"/>
      <c r="E89" s="46"/>
      <c r="F89" s="46"/>
    </row>
    <row r="90" spans="1:6" s="44" customFormat="1">
      <c r="A90" s="78"/>
      <c r="B90" s="79"/>
      <c r="C90" s="45"/>
      <c r="D90" s="46"/>
      <c r="E90" s="46"/>
      <c r="F90" s="46"/>
    </row>
    <row r="91" spans="1:6" s="44" customFormat="1">
      <c r="A91" s="78"/>
      <c r="B91" s="79"/>
      <c r="C91" s="45"/>
      <c r="D91" s="46"/>
      <c r="E91" s="46"/>
      <c r="F91" s="46"/>
    </row>
    <row r="92" spans="1:6" s="44" customFormat="1">
      <c r="A92" s="78"/>
      <c r="B92" s="79"/>
      <c r="C92" s="45"/>
      <c r="D92" s="46"/>
      <c r="E92" s="46"/>
      <c r="F92" s="46"/>
    </row>
    <row r="93" spans="1:6" s="44" customFormat="1">
      <c r="A93" s="78"/>
      <c r="B93" s="79"/>
      <c r="C93" s="45"/>
      <c r="D93" s="46"/>
      <c r="E93" s="46"/>
      <c r="F93" s="46"/>
    </row>
    <row r="94" spans="1:6" s="44" customFormat="1">
      <c r="A94" s="78"/>
      <c r="B94" s="79"/>
      <c r="C94" s="45"/>
      <c r="D94" s="46"/>
      <c r="E94" s="46"/>
      <c r="F94" s="46"/>
    </row>
    <row r="95" spans="1:6" s="44" customFormat="1">
      <c r="A95" s="78"/>
      <c r="B95" s="79"/>
      <c r="C95" s="45"/>
      <c r="D95" s="46"/>
      <c r="E95" s="46"/>
      <c r="F95" s="46"/>
    </row>
    <row r="96" spans="1:6" s="44" customFormat="1">
      <c r="A96" s="78"/>
      <c r="B96" s="79"/>
      <c r="C96" s="45"/>
      <c r="D96" s="46"/>
      <c r="E96" s="46"/>
      <c r="F96" s="46"/>
    </row>
    <row r="97" spans="1:6" s="44" customFormat="1">
      <c r="A97" s="78"/>
      <c r="B97" s="79"/>
      <c r="C97" s="45"/>
      <c r="D97" s="46"/>
      <c r="E97" s="46"/>
      <c r="F97" s="46"/>
    </row>
    <row r="98" spans="1:6" s="44" customFormat="1">
      <c r="A98" s="78"/>
      <c r="B98" s="79"/>
      <c r="C98" s="45"/>
      <c r="D98" s="46"/>
      <c r="E98" s="46"/>
      <c r="F98" s="46"/>
    </row>
    <row r="99" spans="1:6" s="44" customFormat="1">
      <c r="A99" s="78"/>
      <c r="B99" s="79"/>
      <c r="C99" s="45"/>
      <c r="D99" s="46"/>
      <c r="E99" s="46"/>
      <c r="F99" s="46"/>
    </row>
    <row r="100" spans="1:6" s="44" customFormat="1">
      <c r="A100" s="78"/>
      <c r="B100" s="79"/>
      <c r="C100" s="45"/>
      <c r="D100" s="46"/>
      <c r="E100" s="46"/>
      <c r="F100" s="46"/>
    </row>
    <row r="101" spans="1:6" s="44" customFormat="1">
      <c r="A101" s="78"/>
      <c r="B101" s="79"/>
      <c r="C101" s="45"/>
      <c r="D101" s="46"/>
      <c r="E101" s="46"/>
      <c r="F101" s="46"/>
    </row>
    <row r="102" spans="1:6" s="44" customFormat="1">
      <c r="A102" s="78"/>
      <c r="B102" s="79"/>
      <c r="C102" s="45"/>
      <c r="D102" s="46"/>
      <c r="E102" s="46"/>
      <c r="F102" s="46"/>
    </row>
    <row r="103" spans="1:6" s="44" customFormat="1">
      <c r="A103" s="78"/>
      <c r="B103" s="79"/>
      <c r="C103" s="45"/>
      <c r="D103" s="46"/>
      <c r="E103" s="46"/>
      <c r="F103" s="46"/>
    </row>
    <row r="104" spans="1:6" s="44" customFormat="1">
      <c r="A104" s="78"/>
      <c r="B104" s="79"/>
      <c r="C104" s="45"/>
      <c r="D104" s="46"/>
      <c r="E104" s="46"/>
      <c r="F104" s="46"/>
    </row>
    <row r="106" spans="1:6" s="48" customFormat="1" ht="18.75">
      <c r="A106" s="78"/>
      <c r="B106" s="79"/>
      <c r="C106" s="45"/>
      <c r="D106" s="46"/>
      <c r="E106" s="46"/>
      <c r="F106" s="46"/>
    </row>
    <row r="108" spans="1:6" s="48" customFormat="1" ht="18.75">
      <c r="A108" s="78"/>
      <c r="B108" s="79"/>
      <c r="C108" s="45"/>
      <c r="D108" s="46"/>
      <c r="E108" s="46"/>
      <c r="F108" s="46"/>
    </row>
    <row r="127" spans="1:3" s="46" customFormat="1">
      <c r="A127" s="78"/>
      <c r="B127" s="79"/>
      <c r="C127" s="45"/>
    </row>
    <row r="128" spans="1:3" s="46" customFormat="1">
      <c r="A128" s="78"/>
      <c r="B128" s="79"/>
      <c r="C128" s="45"/>
    </row>
  </sheetData>
  <protectedRanges>
    <protectedRange sqref="E23" name="Obseg1_7_1"/>
    <protectedRange sqref="E26" name="Obseg1_5" securityDescriptor="O:WDG:WDD:(A;;CC;;;WD)"/>
    <protectedRange sqref="E24" name="Obseg1_7_1_1"/>
    <protectedRange sqref="E47" name="Obseg1_7_2"/>
    <protectedRange sqref="E39:E41" name="Obseg1_7_3"/>
  </protectedRanges>
  <mergeCells count="1">
    <mergeCell ref="B1:E1"/>
  </mergeCells>
  <phoneticPr fontId="5" type="noConversion"/>
  <pageMargins left="0.78740157480314965" right="0.19685039370078741" top="0.59055118110236227" bottom="0.59055118110236227" header="0" footer="0"/>
  <pageSetup paperSize="9" scale="80" orientation="portrait" r:id="rId1"/>
  <headerFooter>
    <oddHeader>&amp;C&amp;8&amp;F</oddHeader>
    <oddFooter>&amp;L&amp;8&amp;A&amp;C&amp;"Arial CE,Krepko" &amp;"Arial CE,Običajno"&amp;8Vsebino posameznih postavk popisa ni dovoljeno spreminjati!&amp;R&amp;8Stran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G128"/>
  <sheetViews>
    <sheetView tabSelected="1" view="pageBreakPreview" topLeftCell="A43" zoomScaleNormal="100" zoomScaleSheetLayoutView="100" workbookViewId="0">
      <selection activeCell="E55" sqref="E55"/>
    </sheetView>
  </sheetViews>
  <sheetFormatPr defaultColWidth="9.140625" defaultRowHeight="12"/>
  <cols>
    <col min="1" max="1" width="6.140625" style="78" bestFit="1" customWidth="1"/>
    <col min="2" max="2" width="65.7109375" style="79" customWidth="1"/>
    <col min="3" max="3" width="5" style="45" customWidth="1"/>
    <col min="4" max="4" width="10.28515625" style="46" customWidth="1"/>
    <col min="5" max="5" width="10.5703125" style="46" customWidth="1"/>
    <col min="6" max="6" width="12" style="46" customWidth="1"/>
    <col min="7" max="16384" width="9.140625" style="45"/>
  </cols>
  <sheetData>
    <row r="1" spans="1:6" s="43" customFormat="1" ht="21.6" customHeight="1">
      <c r="A1" s="68"/>
      <c r="B1" s="193" t="s">
        <v>294</v>
      </c>
      <c r="C1" s="193"/>
      <c r="D1" s="193"/>
      <c r="E1" s="193"/>
      <c r="F1" s="69"/>
    </row>
    <row r="2" spans="1:6" s="44" customFormat="1" ht="60.75" customHeight="1">
      <c r="A2" s="52"/>
      <c r="B2" s="61" t="s">
        <v>28</v>
      </c>
      <c r="C2" s="53"/>
      <c r="D2" s="54"/>
      <c r="E2" s="54"/>
      <c r="F2" s="55"/>
    </row>
    <row r="3" spans="1:6" s="44" customFormat="1" ht="45.75" customHeight="1">
      <c r="A3" s="56"/>
      <c r="B3" s="62" t="s">
        <v>29</v>
      </c>
      <c r="C3" s="63"/>
      <c r="D3" s="64"/>
      <c r="E3" s="64"/>
      <c r="F3" s="57"/>
    </row>
    <row r="4" spans="1:6" s="44" customFormat="1" ht="71.25" customHeight="1">
      <c r="A4" s="56"/>
      <c r="B4" s="62" t="s">
        <v>30</v>
      </c>
      <c r="C4" s="63"/>
      <c r="D4" s="64"/>
      <c r="E4" s="64"/>
      <c r="F4" s="57"/>
    </row>
    <row r="5" spans="1:6" s="44" customFormat="1" ht="45.75" customHeight="1">
      <c r="A5" s="56"/>
      <c r="B5" s="62" t="s">
        <v>31</v>
      </c>
      <c r="C5" s="63"/>
      <c r="D5" s="64"/>
      <c r="E5" s="64"/>
      <c r="F5" s="57"/>
    </row>
    <row r="6" spans="1:6" s="44" customFormat="1" ht="90.75" customHeight="1">
      <c r="A6" s="56"/>
      <c r="B6" s="62" t="s">
        <v>32</v>
      </c>
      <c r="C6" s="63"/>
      <c r="D6" s="64"/>
      <c r="E6" s="64"/>
      <c r="F6" s="57"/>
    </row>
    <row r="7" spans="1:6" s="44" customFormat="1" ht="37.5" customHeight="1">
      <c r="A7" s="56"/>
      <c r="B7" s="62" t="s">
        <v>33</v>
      </c>
      <c r="C7" s="63"/>
      <c r="D7" s="64"/>
      <c r="E7" s="64"/>
      <c r="F7" s="57"/>
    </row>
    <row r="8" spans="1:6" s="44" customFormat="1" ht="147" customHeight="1">
      <c r="A8" s="56"/>
      <c r="B8" s="62" t="s">
        <v>34</v>
      </c>
      <c r="C8" s="63"/>
      <c r="D8" s="64"/>
      <c r="E8" s="64"/>
      <c r="F8" s="57"/>
    </row>
    <row r="9" spans="1:6" s="44" customFormat="1" ht="26.25" customHeight="1">
      <c r="A9" s="99"/>
      <c r="B9" s="100" t="s">
        <v>35</v>
      </c>
      <c r="C9" s="101"/>
      <c r="D9" s="102"/>
      <c r="E9" s="102"/>
      <c r="F9" s="103"/>
    </row>
    <row r="10" spans="1:6" s="44" customFormat="1">
      <c r="A10" s="104"/>
      <c r="B10" s="105"/>
      <c r="C10" s="106" t="s">
        <v>11</v>
      </c>
      <c r="D10" s="107" t="s">
        <v>12</v>
      </c>
      <c r="E10" s="107" t="s">
        <v>13</v>
      </c>
      <c r="F10" s="108" t="s">
        <v>14</v>
      </c>
    </row>
    <row r="11" spans="1:6" s="47" customFormat="1" ht="15">
      <c r="A11" s="85" t="s">
        <v>181</v>
      </c>
      <c r="B11" s="86" t="s">
        <v>0</v>
      </c>
      <c r="C11" s="87"/>
      <c r="D11" s="88"/>
      <c r="E11" s="88"/>
      <c r="F11" s="71">
        <f>SUM(F12:F18)</f>
        <v>0</v>
      </c>
    </row>
    <row r="12" spans="1:6" s="70" customFormat="1" ht="105">
      <c r="A12" s="72" t="s">
        <v>182</v>
      </c>
      <c r="B12" s="65" t="s">
        <v>87</v>
      </c>
      <c r="C12" s="73" t="s">
        <v>15</v>
      </c>
      <c r="D12" s="74">
        <v>1</v>
      </c>
      <c r="E12" s="75"/>
      <c r="F12" s="75">
        <f>ROUND(D12*E12,2)</f>
        <v>0</v>
      </c>
    </row>
    <row r="13" spans="1:6" s="44" customFormat="1" ht="32.1" customHeight="1">
      <c r="A13" s="72" t="s">
        <v>183</v>
      </c>
      <c r="B13" s="96" t="s">
        <v>123</v>
      </c>
      <c r="C13" s="73" t="s">
        <v>17</v>
      </c>
      <c r="D13" s="74">
        <v>1</v>
      </c>
      <c r="E13" s="75"/>
      <c r="F13" s="75">
        <f t="shared" ref="F13:F14" si="0">ROUND(D13*E13,2)</f>
        <v>0</v>
      </c>
    </row>
    <row r="14" spans="1:6" s="44" customFormat="1" ht="15.95" customHeight="1">
      <c r="A14" s="72" t="s">
        <v>184</v>
      </c>
      <c r="B14" s="109" t="s">
        <v>93</v>
      </c>
      <c r="C14" s="110" t="s">
        <v>17</v>
      </c>
      <c r="D14" s="74">
        <v>2</v>
      </c>
      <c r="E14" s="75"/>
      <c r="F14" s="75">
        <f t="shared" si="0"/>
        <v>0</v>
      </c>
    </row>
    <row r="15" spans="1:6" s="44" customFormat="1" ht="106.5" customHeight="1">
      <c r="A15" s="72" t="s">
        <v>185</v>
      </c>
      <c r="B15" s="65" t="s">
        <v>124</v>
      </c>
      <c r="C15" s="73" t="s">
        <v>15</v>
      </c>
      <c r="D15" s="74">
        <v>1</v>
      </c>
      <c r="E15" s="75"/>
      <c r="F15" s="75">
        <f>ROUND(D15*E15,2)</f>
        <v>0</v>
      </c>
    </row>
    <row r="16" spans="1:6" s="44" customFormat="1" ht="48" customHeight="1">
      <c r="A16" s="72" t="s">
        <v>186</v>
      </c>
      <c r="B16" s="65" t="s">
        <v>98</v>
      </c>
      <c r="C16" s="73" t="s">
        <v>15</v>
      </c>
      <c r="D16" s="74">
        <v>1</v>
      </c>
      <c r="E16" s="75"/>
      <c r="F16" s="75">
        <f t="shared" ref="F16:F18" si="1">ROUND(D16*E16,2)</f>
        <v>0</v>
      </c>
    </row>
    <row r="17" spans="1:7" s="44" customFormat="1" ht="33" customHeight="1">
      <c r="A17" s="72" t="s">
        <v>187</v>
      </c>
      <c r="B17" s="65" t="s">
        <v>99</v>
      </c>
      <c r="C17" s="73" t="s">
        <v>100</v>
      </c>
      <c r="D17" s="74">
        <v>1</v>
      </c>
      <c r="E17" s="75"/>
      <c r="F17" s="75">
        <f t="shared" si="1"/>
        <v>0</v>
      </c>
      <c r="G17" s="76"/>
    </row>
    <row r="18" spans="1:7" s="44" customFormat="1" ht="20.100000000000001" customHeight="1">
      <c r="A18" s="72" t="s">
        <v>188</v>
      </c>
      <c r="B18" s="65" t="s">
        <v>101</v>
      </c>
      <c r="C18" s="73" t="s">
        <v>17</v>
      </c>
      <c r="D18" s="74">
        <v>4</v>
      </c>
      <c r="E18" s="75"/>
      <c r="F18" s="75">
        <f t="shared" si="1"/>
        <v>0</v>
      </c>
    </row>
    <row r="19" spans="1:7" s="44" customFormat="1" ht="20.100000000000001" customHeight="1">
      <c r="A19" s="85" t="s">
        <v>189</v>
      </c>
      <c r="B19" s="86" t="s">
        <v>1</v>
      </c>
      <c r="C19" s="87"/>
      <c r="D19" s="88"/>
      <c r="E19" s="88"/>
      <c r="F19" s="71">
        <f>SUM(F20:F26)</f>
        <v>0</v>
      </c>
    </row>
    <row r="20" spans="1:7" s="44" customFormat="1" ht="34.5" customHeight="1">
      <c r="A20" s="72" t="s">
        <v>190</v>
      </c>
      <c r="B20" s="65" t="s">
        <v>36</v>
      </c>
      <c r="C20" s="73" t="s">
        <v>21</v>
      </c>
      <c r="D20" s="74">
        <v>8</v>
      </c>
      <c r="E20" s="75"/>
      <c r="F20" s="75">
        <f>ROUND(D20*E20,2)</f>
        <v>0</v>
      </c>
    </row>
    <row r="21" spans="1:7" s="44" customFormat="1" ht="18" customHeight="1">
      <c r="A21" s="72" t="s">
        <v>191</v>
      </c>
      <c r="B21" s="51" t="s">
        <v>86</v>
      </c>
      <c r="C21" s="58" t="s">
        <v>2</v>
      </c>
      <c r="D21" s="59">
        <f>(10.8*7+
(9.5+9.5+11.5+11.5)*(1+1.5)+
(15.5+15.5+9.5)*(4*0.6))*1.2</f>
        <v>333.36</v>
      </c>
      <c r="E21" s="60"/>
      <c r="F21" s="60">
        <f t="shared" ref="F21:F26" si="2">ROUND(D21*E21,2)</f>
        <v>0</v>
      </c>
    </row>
    <row r="22" spans="1:7" s="44" customFormat="1" ht="18" customHeight="1">
      <c r="A22" s="72" t="s">
        <v>192</v>
      </c>
      <c r="B22" s="51" t="s">
        <v>37</v>
      </c>
      <c r="C22" s="58" t="s">
        <v>2</v>
      </c>
      <c r="D22" s="59">
        <f>D21*0.02</f>
        <v>6.6672000000000002</v>
      </c>
      <c r="E22" s="60"/>
      <c r="F22" s="60">
        <f t="shared" si="2"/>
        <v>0</v>
      </c>
    </row>
    <row r="23" spans="1:7" s="47" customFormat="1" ht="17.45" customHeight="1">
      <c r="A23" s="72" t="s">
        <v>193</v>
      </c>
      <c r="B23" s="51" t="s">
        <v>38</v>
      </c>
      <c r="C23" s="90" t="s">
        <v>2</v>
      </c>
      <c r="D23" s="59">
        <f>3.1*6</f>
        <v>18.600000000000001</v>
      </c>
      <c r="E23" s="60"/>
      <c r="F23" s="60">
        <f t="shared" si="2"/>
        <v>0</v>
      </c>
    </row>
    <row r="24" spans="1:7" s="44" customFormat="1" ht="21" customHeight="1">
      <c r="A24" s="72" t="s">
        <v>194</v>
      </c>
      <c r="B24" s="51" t="s">
        <v>89</v>
      </c>
      <c r="C24" s="90" t="s">
        <v>2</v>
      </c>
      <c r="D24" s="59">
        <f>(9.5+9.5+11.5+11.5)*(0.5)</f>
        <v>21</v>
      </c>
      <c r="E24" s="60"/>
      <c r="F24" s="60">
        <f t="shared" si="2"/>
        <v>0</v>
      </c>
    </row>
    <row r="25" spans="1:7" s="44" customFormat="1" ht="30">
      <c r="A25" s="72" t="s">
        <v>195</v>
      </c>
      <c r="B25" s="51" t="s">
        <v>88</v>
      </c>
      <c r="C25" s="58" t="s">
        <v>2</v>
      </c>
      <c r="D25" s="59">
        <f>(D21+D22-D23-D24)</f>
        <v>300.42719999999997</v>
      </c>
      <c r="E25" s="60"/>
      <c r="F25" s="60">
        <f t="shared" si="2"/>
        <v>0</v>
      </c>
    </row>
    <row r="26" spans="1:7" s="44" customFormat="1" ht="15">
      <c r="A26" s="72" t="s">
        <v>196</v>
      </c>
      <c r="B26" s="51" t="s">
        <v>39</v>
      </c>
      <c r="C26" s="58" t="s">
        <v>4</v>
      </c>
      <c r="D26" s="59">
        <f>(9.5+9.5+11.5+11.5)*2+
(15.5+15.5+9.5)*1*2</f>
        <v>165</v>
      </c>
      <c r="E26" s="60"/>
      <c r="F26" s="60">
        <f t="shared" si="2"/>
        <v>0</v>
      </c>
    </row>
    <row r="27" spans="1:7" s="44" customFormat="1" ht="18.95" customHeight="1">
      <c r="A27" s="85" t="s">
        <v>197</v>
      </c>
      <c r="B27" s="86" t="s">
        <v>3</v>
      </c>
      <c r="C27" s="87"/>
      <c r="D27" s="88"/>
      <c r="E27" s="88"/>
      <c r="F27" s="71">
        <f>SUM(F28:F37)</f>
        <v>0</v>
      </c>
    </row>
    <row r="28" spans="1:7" s="44" customFormat="1" ht="30">
      <c r="A28" s="97" t="s">
        <v>198</v>
      </c>
      <c r="B28" s="65" t="s">
        <v>40</v>
      </c>
      <c r="C28" s="73" t="s">
        <v>4</v>
      </c>
      <c r="D28" s="75">
        <f>0.2*6.4*2+0.2*2.3*2+
0.1*1.9*2+0.1*6*2</f>
        <v>5.0600000000000005</v>
      </c>
      <c r="E28" s="75"/>
      <c r="F28" s="75">
        <f t="shared" ref="F28:F36" si="3">ROUND(D28*E28,2)</f>
        <v>0</v>
      </c>
    </row>
    <row r="29" spans="1:7" s="44" customFormat="1" ht="30">
      <c r="A29" s="97" t="s">
        <v>199</v>
      </c>
      <c r="B29" s="65" t="s">
        <v>41</v>
      </c>
      <c r="C29" s="73" t="s">
        <v>4</v>
      </c>
      <c r="D29" s="75">
        <f>(0.57*2+1.15*2+1.9*2+2.1*2)*0.25</f>
        <v>2.86</v>
      </c>
      <c r="E29" s="75"/>
      <c r="F29" s="75">
        <f t="shared" si="3"/>
        <v>0</v>
      </c>
    </row>
    <row r="30" spans="1:7" s="44" customFormat="1" ht="30.95" customHeight="1">
      <c r="A30" s="97" t="s">
        <v>200</v>
      </c>
      <c r="B30" s="65" t="s">
        <v>42</v>
      </c>
      <c r="C30" s="73" t="s">
        <v>2</v>
      </c>
      <c r="D30" s="74">
        <f>0.1*1.9*6+
0.25*(0.57+1.15)/2*1.9*2</f>
        <v>1.9569999999999999</v>
      </c>
      <c r="E30" s="75"/>
      <c r="F30" s="75">
        <f t="shared" si="3"/>
        <v>0</v>
      </c>
    </row>
    <row r="31" spans="1:7" s="44" customFormat="1" ht="30.95" customHeight="1">
      <c r="A31" s="97" t="s">
        <v>201</v>
      </c>
      <c r="B31" s="65" t="s">
        <v>43</v>
      </c>
      <c r="C31" s="73" t="s">
        <v>2</v>
      </c>
      <c r="D31" s="74">
        <f>0.2*2.1*6.4</f>
        <v>2.6880000000000006</v>
      </c>
      <c r="E31" s="75"/>
      <c r="F31" s="75">
        <f t="shared" si="3"/>
        <v>0</v>
      </c>
    </row>
    <row r="32" spans="1:7" s="70" customFormat="1" ht="30" customHeight="1">
      <c r="A32" s="97" t="s">
        <v>202</v>
      </c>
      <c r="B32" s="65" t="s">
        <v>122</v>
      </c>
      <c r="C32" s="73" t="s">
        <v>15</v>
      </c>
      <c r="D32" s="74">
        <v>6</v>
      </c>
      <c r="E32" s="75"/>
      <c r="F32" s="75">
        <f t="shared" si="3"/>
        <v>0</v>
      </c>
    </row>
    <row r="33" spans="1:6" s="44" customFormat="1" ht="15">
      <c r="A33" s="97" t="s">
        <v>203</v>
      </c>
      <c r="B33" s="65" t="s">
        <v>44</v>
      </c>
      <c r="C33" s="73" t="s">
        <v>21</v>
      </c>
      <c r="D33" s="74">
        <f>2.5*2</f>
        <v>5</v>
      </c>
      <c r="E33" s="75"/>
      <c r="F33" s="75">
        <f t="shared" si="3"/>
        <v>0</v>
      </c>
    </row>
    <row r="34" spans="1:6" s="44" customFormat="1" ht="30">
      <c r="A34" s="97" t="s">
        <v>204</v>
      </c>
      <c r="B34" s="65" t="s">
        <v>45</v>
      </c>
      <c r="C34" s="73" t="s">
        <v>20</v>
      </c>
      <c r="D34" s="74">
        <f>131.8*3</f>
        <v>395.40000000000003</v>
      </c>
      <c r="E34" s="75"/>
      <c r="F34" s="75">
        <f t="shared" si="3"/>
        <v>0</v>
      </c>
    </row>
    <row r="35" spans="1:6" s="44" customFormat="1" ht="33.75" customHeight="1">
      <c r="A35" s="97" t="s">
        <v>205</v>
      </c>
      <c r="B35" s="65" t="s">
        <v>47</v>
      </c>
      <c r="C35" s="73" t="s">
        <v>20</v>
      </c>
      <c r="D35" s="74">
        <f>103*4</f>
        <v>412</v>
      </c>
      <c r="E35" s="75"/>
      <c r="F35" s="75">
        <f t="shared" si="3"/>
        <v>0</v>
      </c>
    </row>
    <row r="36" spans="1:6" s="44" customFormat="1" ht="30">
      <c r="A36" s="97" t="s">
        <v>206</v>
      </c>
      <c r="B36" s="65" t="s">
        <v>46</v>
      </c>
      <c r="C36" s="73" t="s">
        <v>20</v>
      </c>
      <c r="D36" s="74">
        <f>((0.57+1.15)/2*1.9*0.25)*75</f>
        <v>30.637499999999992</v>
      </c>
      <c r="E36" s="75"/>
      <c r="F36" s="75">
        <f t="shared" si="3"/>
        <v>0</v>
      </c>
    </row>
    <row r="37" spans="1:6" s="44" customFormat="1" ht="45">
      <c r="A37" s="97" t="s">
        <v>207</v>
      </c>
      <c r="B37" s="65" t="s">
        <v>119</v>
      </c>
      <c r="C37" s="73" t="s">
        <v>21</v>
      </c>
      <c r="D37" s="74">
        <f>12*2</f>
        <v>24</v>
      </c>
      <c r="E37" s="75"/>
      <c r="F37" s="75">
        <f>D37*E37</f>
        <v>0</v>
      </c>
    </row>
    <row r="38" spans="1:6" s="70" customFormat="1" ht="17.100000000000001" customHeight="1">
      <c r="A38" s="111" t="s">
        <v>208</v>
      </c>
      <c r="B38" s="112" t="s">
        <v>102</v>
      </c>
      <c r="C38" s="113"/>
      <c r="D38" s="114"/>
      <c r="E38" s="114"/>
      <c r="F38" s="115">
        <f>SUM(F39:F44)</f>
        <v>0</v>
      </c>
    </row>
    <row r="39" spans="1:6" s="70" customFormat="1" ht="48.6" customHeight="1">
      <c r="A39" s="91" t="s">
        <v>209</v>
      </c>
      <c r="B39" s="51" t="s">
        <v>103</v>
      </c>
      <c r="C39" s="58" t="s">
        <v>2</v>
      </c>
      <c r="D39" s="60">
        <f>(15.5+15.5+9.5)*0.2*4</f>
        <v>32.4</v>
      </c>
      <c r="E39" s="60"/>
      <c r="F39" s="60">
        <f t="shared" ref="F39:F44" si="4">ROUND(D39*E39,2)</f>
        <v>0</v>
      </c>
    </row>
    <row r="40" spans="1:6" s="77" customFormat="1" ht="48" customHeight="1">
      <c r="A40" s="91" t="s">
        <v>210</v>
      </c>
      <c r="B40" s="51" t="s">
        <v>104</v>
      </c>
      <c r="C40" s="58" t="s">
        <v>2</v>
      </c>
      <c r="D40" s="60">
        <f>(15.5+15.5+9.5)*0.4*4</f>
        <v>64.8</v>
      </c>
      <c r="E40" s="60"/>
      <c r="F40" s="60">
        <f t="shared" si="4"/>
        <v>0</v>
      </c>
    </row>
    <row r="41" spans="1:6" s="70" customFormat="1" ht="18" customHeight="1">
      <c r="A41" s="91" t="s">
        <v>211</v>
      </c>
      <c r="B41" s="51" t="s">
        <v>110</v>
      </c>
      <c r="C41" s="58" t="s">
        <v>4</v>
      </c>
      <c r="D41" s="60">
        <f>(15.5+15.5+9.5)*4</f>
        <v>162</v>
      </c>
      <c r="E41" s="60"/>
      <c r="F41" s="60">
        <f t="shared" si="4"/>
        <v>0</v>
      </c>
    </row>
    <row r="42" spans="1:6" s="47" customFormat="1" ht="30">
      <c r="A42" s="91" t="s">
        <v>212</v>
      </c>
      <c r="B42" s="51" t="s">
        <v>105</v>
      </c>
      <c r="C42" s="58" t="s">
        <v>4</v>
      </c>
      <c r="D42" s="59">
        <f>D41</f>
        <v>162</v>
      </c>
      <c r="E42" s="60"/>
      <c r="F42" s="60">
        <f t="shared" si="4"/>
        <v>0</v>
      </c>
    </row>
    <row r="43" spans="1:6" s="47" customFormat="1" ht="15">
      <c r="A43" s="91" t="s">
        <v>213</v>
      </c>
      <c r="B43" s="51" t="s">
        <v>106</v>
      </c>
      <c r="C43" s="58" t="s">
        <v>21</v>
      </c>
      <c r="D43" s="59">
        <f>3.5*2</f>
        <v>7</v>
      </c>
      <c r="E43" s="60"/>
      <c r="F43" s="60">
        <f t="shared" si="4"/>
        <v>0</v>
      </c>
    </row>
    <row r="44" spans="1:6" s="44" customFormat="1" ht="30">
      <c r="A44" s="91" t="s">
        <v>214</v>
      </c>
      <c r="B44" s="51" t="s">
        <v>107</v>
      </c>
      <c r="C44" s="58" t="s">
        <v>4</v>
      </c>
      <c r="D44" s="59">
        <f>(15.5+15.5+9.5)*0.5*2</f>
        <v>40.5</v>
      </c>
      <c r="E44" s="60"/>
      <c r="F44" s="60">
        <f t="shared" si="4"/>
        <v>0</v>
      </c>
    </row>
    <row r="45" spans="1:6" s="44" customFormat="1" ht="15">
      <c r="A45" s="85" t="s">
        <v>215</v>
      </c>
      <c r="B45" s="86" t="s">
        <v>16</v>
      </c>
      <c r="C45" s="87"/>
      <c r="D45" s="88"/>
      <c r="E45" s="88"/>
      <c r="F45" s="71">
        <f>SUM(F46:F51)</f>
        <v>0</v>
      </c>
    </row>
    <row r="46" spans="1:6" s="44" customFormat="1" ht="45">
      <c r="A46" s="91" t="s">
        <v>216</v>
      </c>
      <c r="B46" s="51" t="s">
        <v>118</v>
      </c>
      <c r="C46" s="90" t="s">
        <v>4</v>
      </c>
      <c r="D46" s="59">
        <f>0.5*6*2</f>
        <v>6</v>
      </c>
      <c r="E46" s="60"/>
      <c r="F46" s="60">
        <f>ROUND(D46*E46,2)</f>
        <v>0</v>
      </c>
    </row>
    <row r="47" spans="1:6" s="44" customFormat="1" ht="45">
      <c r="A47" s="91" t="s">
        <v>217</v>
      </c>
      <c r="B47" s="51" t="s">
        <v>53</v>
      </c>
      <c r="C47" s="90" t="s">
        <v>2</v>
      </c>
      <c r="D47" s="59">
        <f>((9.5+9.5+11.5+11.5)*(1+1.5))</f>
        <v>105</v>
      </c>
      <c r="E47" s="60"/>
      <c r="F47" s="60">
        <f t="shared" ref="F47:F51" si="5">ROUND(D47*E47,2)</f>
        <v>0</v>
      </c>
    </row>
    <row r="48" spans="1:6" s="44" customFormat="1" ht="30">
      <c r="A48" s="91" t="s">
        <v>218</v>
      </c>
      <c r="B48" s="51" t="s">
        <v>126</v>
      </c>
      <c r="C48" s="58" t="s">
        <v>2</v>
      </c>
      <c r="D48" s="60">
        <f>(2+2+2+2+3.5+2)*1*1</f>
        <v>13.5</v>
      </c>
      <c r="E48" s="60"/>
      <c r="F48" s="60">
        <f t="shared" si="5"/>
        <v>0</v>
      </c>
    </row>
    <row r="49" spans="1:6" s="44" customFormat="1" ht="30">
      <c r="A49" s="91" t="s">
        <v>219</v>
      </c>
      <c r="B49" s="51" t="s">
        <v>125</v>
      </c>
      <c r="C49" s="90" t="s">
        <v>15</v>
      </c>
      <c r="D49" s="59">
        <v>8</v>
      </c>
      <c r="E49" s="60"/>
      <c r="F49" s="60">
        <f t="shared" si="5"/>
        <v>0</v>
      </c>
    </row>
    <row r="50" spans="1:6" s="44" customFormat="1" ht="15">
      <c r="A50" s="91" t="s">
        <v>220</v>
      </c>
      <c r="B50" s="51" t="s">
        <v>120</v>
      </c>
      <c r="C50" s="58" t="s">
        <v>15</v>
      </c>
      <c r="D50" s="60">
        <v>4</v>
      </c>
      <c r="E50" s="60"/>
      <c r="F50" s="60">
        <f t="shared" si="5"/>
        <v>0</v>
      </c>
    </row>
    <row r="51" spans="1:6" s="44" customFormat="1" ht="30">
      <c r="A51" s="91" t="s">
        <v>221</v>
      </c>
      <c r="B51" s="51" t="s">
        <v>23</v>
      </c>
      <c r="C51" s="58" t="s">
        <v>15</v>
      </c>
      <c r="D51" s="59">
        <f>ROUNDUP((9.5+9.5+11.5+11.5),0)</f>
        <v>42</v>
      </c>
      <c r="E51" s="60"/>
      <c r="F51" s="60">
        <f t="shared" si="5"/>
        <v>0</v>
      </c>
    </row>
    <row r="52" spans="1:6" s="44" customFormat="1" ht="15">
      <c r="A52" s="85" t="s">
        <v>222</v>
      </c>
      <c r="B52" s="86" t="s">
        <v>5</v>
      </c>
      <c r="C52" s="87"/>
      <c r="D52" s="88"/>
      <c r="E52" s="88"/>
      <c r="F52" s="71">
        <f>SUM(F53:F55)</f>
        <v>0</v>
      </c>
    </row>
    <row r="53" spans="1:6" s="44" customFormat="1" ht="15">
      <c r="A53" s="72" t="s">
        <v>223</v>
      </c>
      <c r="B53" s="65" t="s">
        <v>18</v>
      </c>
      <c r="C53" s="73" t="s">
        <v>15</v>
      </c>
      <c r="D53" s="74">
        <v>1</v>
      </c>
      <c r="E53" s="75"/>
      <c r="F53" s="75">
        <f t="shared" ref="F53:F55" si="6">ROUND(D53*E53,2)</f>
        <v>0</v>
      </c>
    </row>
    <row r="54" spans="1:6" s="44" customFormat="1" ht="15">
      <c r="A54" s="72" t="s">
        <v>224</v>
      </c>
      <c r="B54" s="65" t="s">
        <v>111</v>
      </c>
      <c r="C54" s="73" t="s">
        <v>112</v>
      </c>
      <c r="D54" s="74">
        <v>12</v>
      </c>
      <c r="E54" s="75"/>
      <c r="F54" s="75">
        <f t="shared" ref="F54" si="7">D54*E54</f>
        <v>0</v>
      </c>
    </row>
    <row r="55" spans="1:6" s="44" customFormat="1" ht="15">
      <c r="A55" s="72" t="s">
        <v>225</v>
      </c>
      <c r="B55" s="65" t="s">
        <v>54</v>
      </c>
      <c r="C55" s="73" t="s">
        <v>55</v>
      </c>
      <c r="D55" s="74">
        <v>1</v>
      </c>
      <c r="E55" s="75"/>
      <c r="F55" s="75">
        <f t="shared" si="6"/>
        <v>0</v>
      </c>
    </row>
    <row r="56" spans="1:6" s="44" customFormat="1" ht="15">
      <c r="A56" s="92"/>
      <c r="B56" s="93" t="s">
        <v>52</v>
      </c>
      <c r="C56" s="94"/>
      <c r="D56" s="94"/>
      <c r="E56" s="94"/>
      <c r="F56" s="95">
        <f>F11+F19+F27+F45+F52+F38</f>
        <v>0</v>
      </c>
    </row>
    <row r="57" spans="1:6" s="44" customFormat="1">
      <c r="A57" s="78"/>
      <c r="B57" s="79"/>
      <c r="C57" s="45"/>
      <c r="D57" s="46"/>
      <c r="E57" s="46"/>
      <c r="F57" s="46"/>
    </row>
    <row r="58" spans="1:6" s="44" customFormat="1">
      <c r="A58" s="78"/>
      <c r="B58" s="79"/>
      <c r="C58" s="45"/>
      <c r="D58" s="46"/>
      <c r="E58" s="46"/>
      <c r="F58" s="46"/>
    </row>
    <row r="59" spans="1:6" s="44" customFormat="1">
      <c r="A59" s="78"/>
      <c r="B59" s="79"/>
      <c r="C59" s="45"/>
      <c r="D59" s="46"/>
      <c r="E59" s="46"/>
      <c r="F59" s="46"/>
    </row>
    <row r="60" spans="1:6" s="44" customFormat="1">
      <c r="A60" s="78"/>
      <c r="B60" s="79"/>
      <c r="C60" s="45"/>
      <c r="D60" s="46"/>
      <c r="E60" s="46"/>
      <c r="F60" s="46"/>
    </row>
    <row r="61" spans="1:6" s="44" customFormat="1" ht="22.5" customHeight="1">
      <c r="A61" s="78"/>
      <c r="B61" s="79"/>
      <c r="C61" s="45"/>
      <c r="D61" s="46"/>
      <c r="E61" s="46"/>
      <c r="F61" s="46"/>
    </row>
    <row r="62" spans="1:6" s="44" customFormat="1" ht="22.5" customHeight="1">
      <c r="A62" s="78"/>
      <c r="B62" s="79"/>
      <c r="C62" s="45"/>
      <c r="D62" s="46"/>
      <c r="E62" s="46"/>
      <c r="F62" s="46"/>
    </row>
    <row r="63" spans="1:6" s="44" customFormat="1">
      <c r="A63" s="78"/>
      <c r="B63" s="79"/>
      <c r="C63" s="45"/>
      <c r="D63" s="46"/>
      <c r="E63" s="46"/>
      <c r="F63" s="46"/>
    </row>
    <row r="64" spans="1:6" s="44" customFormat="1">
      <c r="A64" s="78"/>
      <c r="B64" s="79"/>
      <c r="C64" s="45"/>
      <c r="D64" s="46"/>
      <c r="E64" s="46"/>
      <c r="F64" s="46"/>
    </row>
    <row r="65" spans="1:6" s="44" customFormat="1">
      <c r="A65" s="78"/>
      <c r="B65" s="79"/>
      <c r="C65" s="45"/>
      <c r="D65" s="46"/>
      <c r="E65" s="46"/>
      <c r="F65" s="46"/>
    </row>
    <row r="66" spans="1:6" s="44" customFormat="1" ht="57.75" customHeight="1">
      <c r="A66" s="78"/>
      <c r="B66" s="79"/>
      <c r="C66" s="45"/>
      <c r="D66" s="46"/>
      <c r="E66" s="46"/>
      <c r="F66" s="46"/>
    </row>
    <row r="67" spans="1:6" s="44" customFormat="1">
      <c r="A67" s="78"/>
      <c r="B67" s="79"/>
      <c r="C67" s="45"/>
      <c r="D67" s="46"/>
      <c r="E67" s="46"/>
      <c r="F67" s="46"/>
    </row>
    <row r="68" spans="1:6" s="44" customFormat="1">
      <c r="A68" s="78"/>
      <c r="B68" s="79"/>
      <c r="C68" s="45"/>
      <c r="D68" s="46"/>
      <c r="E68" s="46"/>
      <c r="F68" s="46"/>
    </row>
    <row r="69" spans="1:6" s="44" customFormat="1">
      <c r="A69" s="78"/>
      <c r="B69" s="79"/>
      <c r="C69" s="45"/>
      <c r="D69" s="46"/>
      <c r="E69" s="46"/>
      <c r="F69" s="46"/>
    </row>
    <row r="70" spans="1:6" s="44" customFormat="1" ht="36" customHeight="1">
      <c r="A70" s="78"/>
      <c r="B70" s="79"/>
      <c r="C70" s="45"/>
      <c r="D70" s="46"/>
      <c r="E70" s="46"/>
      <c r="F70" s="46"/>
    </row>
    <row r="71" spans="1:6" s="44" customFormat="1" ht="36" customHeight="1">
      <c r="A71" s="78"/>
      <c r="B71" s="79"/>
      <c r="C71" s="45"/>
      <c r="D71" s="46"/>
      <c r="E71" s="46"/>
      <c r="F71" s="46"/>
    </row>
    <row r="72" spans="1:6" s="44" customFormat="1">
      <c r="A72" s="78"/>
      <c r="B72" s="79"/>
      <c r="C72" s="45"/>
      <c r="D72" s="46"/>
      <c r="E72" s="46"/>
      <c r="F72" s="46"/>
    </row>
    <row r="73" spans="1:6" s="44" customFormat="1">
      <c r="A73" s="78"/>
      <c r="B73" s="79"/>
      <c r="C73" s="45"/>
      <c r="D73" s="46"/>
      <c r="E73" s="46"/>
      <c r="F73" s="46"/>
    </row>
    <row r="74" spans="1:6" s="44" customFormat="1">
      <c r="A74" s="78"/>
      <c r="B74" s="79"/>
      <c r="C74" s="45"/>
      <c r="D74" s="46"/>
      <c r="E74" s="46"/>
      <c r="F74" s="46"/>
    </row>
    <row r="75" spans="1:6" s="44" customFormat="1">
      <c r="A75" s="78"/>
      <c r="B75" s="79"/>
      <c r="C75" s="45"/>
      <c r="D75" s="46"/>
      <c r="E75" s="46"/>
      <c r="F75" s="46"/>
    </row>
    <row r="76" spans="1:6" s="44" customFormat="1">
      <c r="A76" s="78"/>
      <c r="B76" s="79"/>
      <c r="C76" s="45"/>
      <c r="D76" s="46"/>
      <c r="E76" s="46"/>
      <c r="F76" s="46"/>
    </row>
    <row r="77" spans="1:6" s="44" customFormat="1">
      <c r="A77" s="78"/>
      <c r="B77" s="79"/>
      <c r="C77" s="45"/>
      <c r="D77" s="46"/>
      <c r="E77" s="46"/>
      <c r="F77" s="46"/>
    </row>
    <row r="78" spans="1:6" s="44" customFormat="1" ht="36" customHeight="1">
      <c r="A78" s="78"/>
      <c r="B78" s="79"/>
      <c r="C78" s="45"/>
      <c r="D78" s="46"/>
      <c r="E78" s="46"/>
      <c r="F78" s="46"/>
    </row>
    <row r="79" spans="1:6" s="44" customFormat="1">
      <c r="A79" s="78"/>
      <c r="B79" s="79"/>
      <c r="C79" s="45"/>
      <c r="D79" s="46"/>
      <c r="E79" s="46"/>
      <c r="F79" s="46"/>
    </row>
    <row r="80" spans="1:6" s="44" customFormat="1">
      <c r="A80" s="78"/>
      <c r="B80" s="79"/>
      <c r="C80" s="45"/>
      <c r="D80" s="46"/>
      <c r="E80" s="46"/>
      <c r="F80" s="46"/>
    </row>
    <row r="81" spans="1:6" s="44" customFormat="1" ht="69.75" customHeight="1">
      <c r="A81" s="78"/>
      <c r="B81" s="79"/>
      <c r="C81" s="45"/>
      <c r="D81" s="46"/>
      <c r="E81" s="46"/>
      <c r="F81" s="46"/>
    </row>
    <row r="82" spans="1:6" s="44" customFormat="1">
      <c r="A82" s="78"/>
      <c r="B82" s="79"/>
      <c r="C82" s="45"/>
      <c r="D82" s="46"/>
      <c r="E82" s="46"/>
      <c r="F82" s="46"/>
    </row>
    <row r="83" spans="1:6" s="44" customFormat="1">
      <c r="A83" s="78"/>
      <c r="B83" s="79"/>
      <c r="C83" s="45"/>
      <c r="D83" s="46"/>
      <c r="E83" s="46"/>
      <c r="F83" s="46"/>
    </row>
    <row r="84" spans="1:6" s="44" customFormat="1" ht="24.75" customHeight="1">
      <c r="A84" s="78"/>
      <c r="B84" s="79"/>
      <c r="C84" s="45"/>
      <c r="D84" s="46"/>
      <c r="E84" s="46"/>
      <c r="F84" s="46"/>
    </row>
    <row r="85" spans="1:6" s="44" customFormat="1">
      <c r="A85" s="78"/>
      <c r="B85" s="79"/>
      <c r="C85" s="45"/>
      <c r="D85" s="46"/>
      <c r="E85" s="46"/>
      <c r="F85" s="46"/>
    </row>
    <row r="86" spans="1:6" s="44" customFormat="1" ht="23.25" customHeight="1">
      <c r="A86" s="78"/>
      <c r="B86" s="79"/>
      <c r="C86" s="45"/>
      <c r="D86" s="46"/>
      <c r="E86" s="46"/>
      <c r="F86" s="46"/>
    </row>
    <row r="87" spans="1:6" s="44" customFormat="1">
      <c r="A87" s="78"/>
      <c r="B87" s="79"/>
      <c r="C87" s="45"/>
      <c r="D87" s="46"/>
      <c r="E87" s="46"/>
      <c r="F87" s="46"/>
    </row>
    <row r="88" spans="1:6" s="44" customFormat="1">
      <c r="A88" s="78"/>
      <c r="B88" s="79"/>
      <c r="C88" s="45"/>
      <c r="D88" s="46"/>
      <c r="E88" s="46"/>
      <c r="F88" s="46"/>
    </row>
    <row r="89" spans="1:6" s="44" customFormat="1">
      <c r="A89" s="78"/>
      <c r="B89" s="79"/>
      <c r="C89" s="45"/>
      <c r="D89" s="46"/>
      <c r="E89" s="46"/>
      <c r="F89" s="46"/>
    </row>
    <row r="90" spans="1:6" s="44" customFormat="1">
      <c r="A90" s="78"/>
      <c r="B90" s="79"/>
      <c r="C90" s="45"/>
      <c r="D90" s="46"/>
      <c r="E90" s="46"/>
      <c r="F90" s="46"/>
    </row>
    <row r="91" spans="1:6" s="44" customFormat="1">
      <c r="A91" s="78"/>
      <c r="B91" s="79"/>
      <c r="C91" s="45"/>
      <c r="D91" s="46"/>
      <c r="E91" s="46"/>
      <c r="F91" s="46"/>
    </row>
    <row r="92" spans="1:6" s="44" customFormat="1">
      <c r="A92" s="78"/>
      <c r="B92" s="79"/>
      <c r="C92" s="45"/>
      <c r="D92" s="46"/>
      <c r="E92" s="46"/>
      <c r="F92" s="46"/>
    </row>
    <row r="93" spans="1:6" s="44" customFormat="1">
      <c r="A93" s="78"/>
      <c r="B93" s="79"/>
      <c r="C93" s="45"/>
      <c r="D93" s="46"/>
      <c r="E93" s="46"/>
      <c r="F93" s="46"/>
    </row>
    <row r="94" spans="1:6" s="44" customFormat="1">
      <c r="A94" s="78"/>
      <c r="B94" s="79"/>
      <c r="C94" s="45"/>
      <c r="D94" s="46"/>
      <c r="E94" s="46"/>
      <c r="F94" s="46"/>
    </row>
    <row r="95" spans="1:6" s="44" customFormat="1">
      <c r="A95" s="78"/>
      <c r="B95" s="79"/>
      <c r="C95" s="45"/>
      <c r="D95" s="46"/>
      <c r="E95" s="46"/>
      <c r="F95" s="46"/>
    </row>
    <row r="96" spans="1:6" s="44" customFormat="1">
      <c r="A96" s="78"/>
      <c r="B96" s="79"/>
      <c r="C96" s="45"/>
      <c r="D96" s="46"/>
      <c r="E96" s="46"/>
      <c r="F96" s="46"/>
    </row>
    <row r="97" spans="1:6" s="44" customFormat="1">
      <c r="A97" s="78"/>
      <c r="B97" s="79"/>
      <c r="C97" s="45"/>
      <c r="D97" s="46"/>
      <c r="E97" s="46"/>
      <c r="F97" s="46"/>
    </row>
    <row r="98" spans="1:6" s="44" customFormat="1">
      <c r="A98" s="78"/>
      <c r="B98" s="79"/>
      <c r="C98" s="45"/>
      <c r="D98" s="46"/>
      <c r="E98" s="46"/>
      <c r="F98" s="46"/>
    </row>
    <row r="99" spans="1:6" s="44" customFormat="1">
      <c r="A99" s="78"/>
      <c r="B99" s="79"/>
      <c r="C99" s="45"/>
      <c r="D99" s="46"/>
      <c r="E99" s="46"/>
      <c r="F99" s="46"/>
    </row>
    <row r="100" spans="1:6" s="44" customFormat="1">
      <c r="A100" s="78"/>
      <c r="B100" s="79"/>
      <c r="C100" s="45"/>
      <c r="D100" s="46"/>
      <c r="E100" s="46"/>
      <c r="F100" s="46"/>
    </row>
    <row r="101" spans="1:6" s="44" customFormat="1">
      <c r="A101" s="78"/>
      <c r="B101" s="79"/>
      <c r="C101" s="45"/>
      <c r="D101" s="46"/>
      <c r="E101" s="46"/>
      <c r="F101" s="46"/>
    </row>
    <row r="102" spans="1:6" s="44" customFormat="1">
      <c r="A102" s="78"/>
      <c r="B102" s="79"/>
      <c r="C102" s="45"/>
      <c r="D102" s="46"/>
      <c r="E102" s="46"/>
      <c r="F102" s="46"/>
    </row>
    <row r="103" spans="1:6" s="44" customFormat="1">
      <c r="A103" s="78"/>
      <c r="B103" s="79"/>
      <c r="C103" s="45"/>
      <c r="D103" s="46"/>
      <c r="E103" s="46"/>
      <c r="F103" s="46"/>
    </row>
    <row r="104" spans="1:6" s="44" customFormat="1">
      <c r="A104" s="78"/>
      <c r="B104" s="79"/>
      <c r="C104" s="45"/>
      <c r="D104" s="46"/>
      <c r="E104" s="46"/>
      <c r="F104" s="46"/>
    </row>
    <row r="106" spans="1:6" s="48" customFormat="1" ht="18.75">
      <c r="A106" s="78"/>
      <c r="B106" s="79"/>
      <c r="C106" s="45"/>
      <c r="D106" s="46"/>
      <c r="E106" s="46"/>
      <c r="F106" s="46"/>
    </row>
    <row r="108" spans="1:6" s="48" customFormat="1" ht="18.75">
      <c r="A108" s="78"/>
      <c r="B108" s="79"/>
      <c r="C108" s="45"/>
      <c r="D108" s="46"/>
      <c r="E108" s="46"/>
      <c r="F108" s="46"/>
    </row>
    <row r="127" spans="1:3" s="46" customFormat="1">
      <c r="A127" s="78"/>
      <c r="B127" s="79"/>
      <c r="C127" s="45"/>
    </row>
    <row r="128" spans="1:3" s="46" customFormat="1">
      <c r="A128" s="78"/>
      <c r="B128" s="79"/>
      <c r="C128" s="45"/>
    </row>
  </sheetData>
  <protectedRanges>
    <protectedRange sqref="E23" name="Obseg1_7_1"/>
    <protectedRange sqref="E26" name="Obseg1_5" securityDescriptor="O:WDG:WDD:(A;;CC;;;WD)"/>
    <protectedRange sqref="E24" name="Obseg1_7_1_1"/>
    <protectedRange sqref="E47" name="Obseg1_7_2"/>
    <protectedRange sqref="E39:E41" name="Obseg1_7_3"/>
  </protectedRanges>
  <mergeCells count="1">
    <mergeCell ref="B1:E1"/>
  </mergeCells>
  <phoneticPr fontId="5" type="noConversion"/>
  <pageMargins left="0.78740157480314965" right="0.19685039370078741" top="0.59055118110236227" bottom="0.59055118110236227" header="0" footer="0"/>
  <pageSetup paperSize="9" scale="80" orientation="portrait" r:id="rId1"/>
  <headerFooter>
    <oddHeader>&amp;C&amp;8&amp;F</oddHeader>
    <oddFooter>&amp;L&amp;8&amp;A&amp;C&amp;"Arial CE,Krepko" &amp;"Arial CE,Običajno"&amp;8Vsebino posameznih postavk popisa ni dovoljeno spreminjati!&amp;R&amp;8Stran &amp;P</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Delovni listi</vt:lpstr>
      </vt:variant>
      <vt:variant>
        <vt:i4>4</vt:i4>
      </vt:variant>
      <vt:variant>
        <vt:lpstr>Imenovani obsegi</vt:lpstr>
      </vt:variant>
      <vt:variant>
        <vt:i4>9</vt:i4>
      </vt:variant>
    </vt:vector>
  </HeadingPairs>
  <TitlesOfParts>
    <vt:vector size="13" baseType="lpstr">
      <vt:lpstr>naslovnica</vt:lpstr>
      <vt:lpstr>A.PREPUST VIZORE</vt:lpstr>
      <vt:lpstr>B.PREPUST_HOMEC</vt:lpstr>
      <vt:lpstr>C. PREPUST_LANDEK</vt:lpstr>
      <vt:lpstr>'A.PREPUST VIZORE'!Področje_tiskanja</vt:lpstr>
      <vt:lpstr>B.PREPUST_HOMEC!Področje_tiskanja</vt:lpstr>
      <vt:lpstr>'C. PREPUST_LANDEK'!Področje_tiskanja</vt:lpstr>
      <vt:lpstr>B.PREPUST_HOMEC!Print_Area</vt:lpstr>
      <vt:lpstr>'C. PREPUST_LANDEK'!Print_Area</vt:lpstr>
      <vt:lpstr>B.PREPUST_HOMEC!Print_Titles</vt:lpstr>
      <vt:lpstr>'C. PREPUST_LANDEK'!Print_Titles</vt:lpstr>
      <vt:lpstr>'A.PREPUST VIZORE'!Tiskanje_naslovov</vt:lpstr>
      <vt:lpstr>'A.PREPUST VIZORE'!vert</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Uroš Vogrinc</dc:creator>
  <cp:lastModifiedBy>Mateja Kozikar</cp:lastModifiedBy>
  <cp:lastPrinted>2023-05-12T08:48:34Z</cp:lastPrinted>
  <dcterms:created xsi:type="dcterms:W3CDTF">2018-11-26T06:51:24Z</dcterms:created>
  <dcterms:modified xsi:type="dcterms:W3CDTF">2025-04-02T10:59:21Z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