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8_{B00018B9-A848-44B1-99A0-3F00A611C091}" xr6:coauthVersionLast="43" xr6:coauthVersionMax="43" xr10:uidLastSave="{00000000-0000-0000-0000-000000000000}"/>
  <bookViews>
    <workbookView xWindow="2640" yWindow="2640" windowWidth="21600" windowHeight="11385" tabRatio="912" firstSheet="2" activeTab="8" xr2:uid="{00000000-000D-0000-FFFF-FFFF00000000}"/>
  </bookViews>
  <sheets>
    <sheet name="PROGRAM IZVAJANJA" sheetId="1" r:id="rId1"/>
    <sheet name="Podatki o objektih" sheetId="72" r:id="rId2"/>
    <sheet name="Referenčne količine" sheetId="16" r:id="rId3"/>
    <sheet name="STANDARD UDOBJA" sheetId="54" r:id="rId4"/>
    <sheet name="EN. UPRAVLJANJE" sheetId="74" r:id="rId5"/>
    <sheet name="UKREPI - SPLOŠNE ZAHTEVE" sheetId="75" r:id="rId6"/>
    <sheet name="OB3" sheetId="18" state="hidden" r:id="rId7"/>
    <sheet name="UKREPI (SKUPAJ)" sheetId="8" state="hidden" r:id="rId8"/>
    <sheet name="OB01" sheetId="28" r:id="rId9"/>
    <sheet name="OB02" sheetId="76" r:id="rId10"/>
    <sheet name="OB03" sheetId="77" r:id="rId11"/>
    <sheet name="UKREPI SKUPAJ" sheetId="71" r:id="rId12"/>
    <sheet name="VZOREC OBRAČUNA - TOPLOTA" sheetId="29" r:id="rId13"/>
    <sheet name="VZOREC OBRAČUNA - EL. ENERG" sheetId="30" r:id="rId14"/>
    <sheet name="VZOREC OBRAČUNA - SKUPAJ" sheetId="31" r:id="rId15"/>
  </sheets>
  <externalReferences>
    <externalReference r:id="rId16"/>
  </externalReferences>
  <definedNames>
    <definedName name="__IntlFixup" hidden="1">TRUE</definedName>
    <definedName name="_xlnm._FilterDatabase" localSheetId="8" hidden="1">'OB01'!#REF!</definedName>
    <definedName name="_xlnm._FilterDatabase" localSheetId="9" hidden="1">'OB02'!#REF!</definedName>
    <definedName name="_xlnm._FilterDatabase" localSheetId="10" hidden="1">'OB03'!#REF!</definedName>
    <definedName name="anscount" hidden="1">1</definedName>
    <definedName name="Number_of_Payments" localSheetId="4" hidden="1">MATCH(0.01,End_Bal,-1)+1</definedName>
    <definedName name="Number_of_Payments" localSheetId="9" hidden="1">MATCH(0.01,End_Bal,-1)+1</definedName>
    <definedName name="Number_of_Payments" localSheetId="10" hidden="1">MATCH(0.01,End_Bal,-1)+1</definedName>
    <definedName name="Number_of_Payments" localSheetId="3" hidden="1">MATCH(0.01,End_Bal,-1)+1</definedName>
    <definedName name="Number_of_Payments" localSheetId="5" hidden="1">MATCH(0.01,End_Bal,-1)+1</definedName>
    <definedName name="Number_of_Payments" hidden="1">MATCH(0.01,End_Bal,-1)+1</definedName>
    <definedName name="objekti">[1]ENERGENTI!$A$9:$AE$121</definedName>
    <definedName name="_xlnm.Print_Area" localSheetId="4">'EN. UPRAVLJANJE'!$A$1:$B$43</definedName>
    <definedName name="_xlnm.Print_Area" localSheetId="2">'Referenčne količine'!$A$1:$AM$47</definedName>
  </definedNames>
  <calcPr calcId="181029"/>
  <extLst>
    <ext xmlns:x14="http://schemas.microsoft.com/office/spreadsheetml/2009/9/main" uri="{79F54976-1DA5-4618-B147-4CDE4B953A38}">
      <x14:workbookPr defaultImageDpi="330"/>
    </ext>
  </extLst>
</workbook>
</file>

<file path=xl/calcChain.xml><?xml version="1.0" encoding="utf-8"?>
<calcChain xmlns="http://schemas.openxmlformats.org/spreadsheetml/2006/main">
  <c r="AE5" i="16" l="1"/>
  <c r="AC5" i="16" l="1"/>
  <c r="U5" i="16"/>
  <c r="AE4" i="16" l="1"/>
  <c r="AC4" i="16"/>
  <c r="AC3" i="16"/>
  <c r="AE3" i="16"/>
  <c r="U3" i="16"/>
  <c r="C19" i="72" l="1"/>
  <c r="C18" i="72"/>
  <c r="C17" i="72"/>
  <c r="A19" i="72" l="1"/>
  <c r="D7" i="72"/>
  <c r="C7" i="72"/>
  <c r="F8" i="31" l="1"/>
  <c r="F9" i="31"/>
  <c r="F10" i="31" s="1"/>
  <c r="F7" i="31"/>
  <c r="D10" i="31"/>
  <c r="E10" i="31"/>
  <c r="C10" i="31"/>
  <c r="K6" i="71"/>
  <c r="K7" i="71"/>
  <c r="K5" i="71"/>
  <c r="B51" i="77"/>
  <c r="B51" i="76"/>
  <c r="B51" i="28"/>
  <c r="K8" i="71" l="1"/>
  <c r="C107" i="77"/>
  <c r="C52" i="77"/>
  <c r="C58" i="77" s="1"/>
  <c r="C51" i="77"/>
  <c r="C57" i="77" s="1"/>
  <c r="E7" i="71" s="1"/>
  <c r="C50" i="77"/>
  <c r="C46" i="77"/>
  <c r="C47" i="77" s="1"/>
  <c r="B6" i="77"/>
  <c r="B22" i="77" l="1"/>
  <c r="C54" i="77" s="1"/>
  <c r="F7" i="71" s="1"/>
  <c r="C22" i="77"/>
  <c r="C20" i="77"/>
  <c r="C19" i="77"/>
  <c r="B18" i="77"/>
  <c r="B17" i="77"/>
  <c r="C53" i="77" s="1"/>
  <c r="C17" i="77"/>
  <c r="C15" i="77"/>
  <c r="C14" i="77"/>
  <c r="B12" i="77"/>
  <c r="B8" i="77"/>
  <c r="B101" i="77" s="1"/>
  <c r="B50" i="77" s="1"/>
  <c r="B7" i="77"/>
  <c r="B5" i="77"/>
  <c r="B4" i="77"/>
  <c r="C64" i="77" l="1"/>
  <c r="C66" i="77" s="1"/>
  <c r="C59" i="77"/>
  <c r="C51" i="76" l="1"/>
  <c r="C52" i="76"/>
  <c r="C58" i="76" s="1"/>
  <c r="C50" i="76"/>
  <c r="C51" i="28"/>
  <c r="C52" i="28"/>
  <c r="C58" i="28" s="1"/>
  <c r="C50" i="28"/>
  <c r="AL4" i="16" l="1"/>
  <c r="AL5" i="16"/>
  <c r="B23" i="77" s="1"/>
  <c r="AL3" i="16"/>
  <c r="X3" i="16"/>
  <c r="C72" i="77" l="1"/>
  <c r="J7" i="71" s="1"/>
  <c r="C71" i="77"/>
  <c r="I7" i="71" s="1"/>
  <c r="Z3" i="16"/>
  <c r="AG4" i="16" l="1"/>
  <c r="AG5" i="16"/>
  <c r="AD4" i="16"/>
  <c r="AD5" i="16"/>
  <c r="B21" i="77" s="1"/>
  <c r="X4" i="16"/>
  <c r="Z4" i="16" s="1"/>
  <c r="X5" i="16"/>
  <c r="T4" i="16"/>
  <c r="T5" i="16"/>
  <c r="Q4" i="16"/>
  <c r="Q5" i="16"/>
  <c r="O5" i="16"/>
  <c r="AH5" i="16" l="1"/>
  <c r="C21" i="77" s="1"/>
  <c r="C67" i="77" s="1"/>
  <c r="C18" i="77"/>
  <c r="C65" i="77" s="1"/>
  <c r="Y4" i="16"/>
  <c r="C16" i="77"/>
  <c r="C60" i="77" s="1"/>
  <c r="B16" i="77"/>
  <c r="N5" i="16"/>
  <c r="C12" i="77"/>
  <c r="C56" i="77" s="1"/>
  <c r="C7" i="71" s="1"/>
  <c r="D7" i="71" s="1"/>
  <c r="AH4" i="16"/>
  <c r="Z5" i="16"/>
  <c r="C13" i="77" s="1"/>
  <c r="Y5" i="16"/>
  <c r="AK5" i="16" s="1"/>
  <c r="AM5" i="16" s="1"/>
  <c r="A7" i="72"/>
  <c r="C74" i="77" l="1"/>
  <c r="C61" i="77"/>
  <c r="C68" i="77"/>
  <c r="G7" i="71"/>
  <c r="H7" i="71" s="1"/>
  <c r="AK4" i="16"/>
  <c r="AM4" i="16" s="1"/>
  <c r="C57" i="76"/>
  <c r="B93" i="77" l="1"/>
  <c r="C93" i="77" s="1"/>
  <c r="B89" i="77"/>
  <c r="C89" i="77" s="1"/>
  <c r="B83" i="77"/>
  <c r="C83" i="77" s="1"/>
  <c r="B86" i="77"/>
  <c r="C86" i="77" s="1"/>
  <c r="B87" i="77"/>
  <c r="C87" i="77" s="1"/>
  <c r="B82" i="77"/>
  <c r="C82" i="77" s="1"/>
  <c r="B79" i="77"/>
  <c r="C79" i="77" s="1"/>
  <c r="B85" i="77"/>
  <c r="C85" i="77" s="1"/>
  <c r="B88" i="77"/>
  <c r="C88" i="77" s="1"/>
  <c r="B92" i="77"/>
  <c r="C92" i="77" s="1"/>
  <c r="B90" i="77"/>
  <c r="C90" i="77" s="1"/>
  <c r="B84" i="77"/>
  <c r="C84" i="77" s="1"/>
  <c r="B81" i="77"/>
  <c r="C81" i="77" s="1"/>
  <c r="B80" i="77"/>
  <c r="C80" i="77" s="1"/>
  <c r="B91" i="77"/>
  <c r="C91" i="77" s="1"/>
  <c r="C57" i="28"/>
  <c r="T3" i="16"/>
  <c r="Q3" i="16"/>
  <c r="C94" i="77" l="1"/>
  <c r="AD3" i="16"/>
  <c r="M7" i="71" l="1"/>
  <c r="C75" i="77"/>
  <c r="C107" i="76"/>
  <c r="E6" i="71"/>
  <c r="C46" i="76"/>
  <c r="C47" i="76" s="1"/>
  <c r="B6" i="76"/>
  <c r="E5" i="71"/>
  <c r="B21" i="76" l="1"/>
  <c r="C18" i="76"/>
  <c r="C65" i="76" s="1"/>
  <c r="E8" i="71"/>
  <c r="C22" i="76"/>
  <c r="B22" i="76"/>
  <c r="C64" i="76" s="1"/>
  <c r="C66" i="76" s="1"/>
  <c r="C20" i="76"/>
  <c r="C21" i="76"/>
  <c r="C19" i="76"/>
  <c r="B16" i="76"/>
  <c r="B18" i="76"/>
  <c r="C17" i="76"/>
  <c r="B17" i="76"/>
  <c r="C15" i="76"/>
  <c r="C16" i="76"/>
  <c r="C13" i="76"/>
  <c r="C14" i="76"/>
  <c r="B12" i="76"/>
  <c r="C12" i="76"/>
  <c r="C56" i="76" s="1"/>
  <c r="B7" i="76"/>
  <c r="B8" i="76"/>
  <c r="B101" i="76" s="1"/>
  <c r="B50" i="76" s="1"/>
  <c r="B4" i="76"/>
  <c r="B5" i="76"/>
  <c r="B23" i="76"/>
  <c r="N4" i="16"/>
  <c r="C67" i="76" l="1"/>
  <c r="C72" i="76"/>
  <c r="J6" i="71" s="1"/>
  <c r="C71" i="76"/>
  <c r="I6" i="71" s="1"/>
  <c r="C68" i="76"/>
  <c r="G6" i="71"/>
  <c r="C6" i="71"/>
  <c r="AG3" i="16" l="1"/>
  <c r="A5" i="72"/>
  <c r="A6" i="72"/>
  <c r="C107" i="28"/>
  <c r="C46" i="28"/>
  <c r="C47" i="28" s="1"/>
  <c r="B6" i="72"/>
  <c r="C6" i="72"/>
  <c r="D6" i="72"/>
  <c r="D5" i="72"/>
  <c r="C5" i="72"/>
  <c r="B5" i="72"/>
  <c r="B6" i="28"/>
  <c r="B5" i="28" s="1"/>
  <c r="O3" i="16"/>
  <c r="B6" i="18"/>
  <c r="B5" i="18"/>
  <c r="B4" i="18"/>
  <c r="C12" i="18"/>
  <c r="J5" i="8"/>
  <c r="D48" i="18"/>
  <c r="G7" i="8" s="1"/>
  <c r="D47" i="18"/>
  <c r="F7" i="8" s="1"/>
  <c r="D40" i="18"/>
  <c r="C7" i="8" s="1"/>
  <c r="D36" i="18"/>
  <c r="D37" i="18" s="1"/>
  <c r="C6" i="8"/>
  <c r="G6" i="8"/>
  <c r="F6" i="8"/>
  <c r="I5" i="8"/>
  <c r="I6" i="8"/>
  <c r="D53" i="18"/>
  <c r="J7" i="8" s="1"/>
  <c r="J6" i="8"/>
  <c r="I8" i="8"/>
  <c r="C13" i="18"/>
  <c r="D49" i="18"/>
  <c r="H7" i="8" s="1"/>
  <c r="R7" i="8"/>
  <c r="Q7" i="8"/>
  <c r="P7" i="8"/>
  <c r="O7" i="8"/>
  <c r="N7" i="8"/>
  <c r="R6" i="8"/>
  <c r="Q6" i="8"/>
  <c r="P6" i="8"/>
  <c r="O6" i="8"/>
  <c r="N6" i="8"/>
  <c r="H6" i="8"/>
  <c r="E6" i="8"/>
  <c r="D6" i="8"/>
  <c r="N5" i="8"/>
  <c r="O5" i="8"/>
  <c r="P5" i="8"/>
  <c r="Q5" i="8"/>
  <c r="R5" i="8"/>
  <c r="G5" i="8"/>
  <c r="G8" i="8"/>
  <c r="F5" i="8"/>
  <c r="F8" i="8"/>
  <c r="L6" i="8"/>
  <c r="C5" i="8"/>
  <c r="C8" i="8" s="1"/>
  <c r="E5" i="8"/>
  <c r="E8" i="8" s="1"/>
  <c r="D5" i="8"/>
  <c r="H5" i="8"/>
  <c r="H8" i="8" s="1"/>
  <c r="D8" i="8"/>
  <c r="L5" i="8"/>
  <c r="L8" i="8" s="1"/>
  <c r="AF26" i="29"/>
  <c r="B12" i="18"/>
  <c r="B15" i="18"/>
  <c r="D52" i="18"/>
  <c r="I7" i="8" s="1"/>
  <c r="B13" i="18"/>
  <c r="D41" i="18" s="1"/>
  <c r="D42" i="18" s="1"/>
  <c r="D43" i="18" s="1"/>
  <c r="K5" i="8" l="1"/>
  <c r="K8" i="8" s="1"/>
  <c r="K6" i="8"/>
  <c r="B22" i="28"/>
  <c r="B21" i="28"/>
  <c r="C22" i="28"/>
  <c r="C19" i="28"/>
  <c r="C20" i="28"/>
  <c r="B18" i="28"/>
  <c r="C18" i="28"/>
  <c r="C65" i="28" s="1"/>
  <c r="B7" i="28"/>
  <c r="B16" i="28"/>
  <c r="B8" i="28"/>
  <c r="B101" i="28" s="1"/>
  <c r="B50" i="28" s="1"/>
  <c r="C17" i="28"/>
  <c r="B17" i="28"/>
  <c r="C15" i="28"/>
  <c r="C16" i="28"/>
  <c r="C13" i="28"/>
  <c r="C14" i="28"/>
  <c r="B12" i="28"/>
  <c r="C12" i="28"/>
  <c r="B23" i="28"/>
  <c r="C71" i="28" s="1"/>
  <c r="J8" i="8"/>
  <c r="O4" i="16"/>
  <c r="C53" i="76"/>
  <c r="D6" i="71" s="1"/>
  <c r="B14" i="18"/>
  <c r="D44" i="18" s="1"/>
  <c r="E7" i="8" s="1"/>
  <c r="C14" i="18"/>
  <c r="D7" i="8"/>
  <c r="K7" i="8" s="1"/>
  <c r="D55" i="18"/>
  <c r="B4" i="28"/>
  <c r="C68" i="28" l="1"/>
  <c r="C72" i="28"/>
  <c r="J5" i="71" s="1"/>
  <c r="C54" i="76"/>
  <c r="H6" i="71"/>
  <c r="G5" i="71"/>
  <c r="G8" i="71" s="1"/>
  <c r="B72" i="18"/>
  <c r="C72" i="18" s="1"/>
  <c r="B60" i="18"/>
  <c r="C60" i="18" s="1"/>
  <c r="C75" i="18" s="1"/>
  <c r="D56" i="18" s="1"/>
  <c r="L7" i="8" s="1"/>
  <c r="B63" i="18"/>
  <c r="C63" i="18" s="1"/>
  <c r="B70" i="18"/>
  <c r="C70" i="18" s="1"/>
  <c r="B65" i="18"/>
  <c r="C65" i="18" s="1"/>
  <c r="B74" i="18"/>
  <c r="C74" i="18" s="1"/>
  <c r="B71" i="18"/>
  <c r="C71" i="18" s="1"/>
  <c r="B67" i="18"/>
  <c r="C67" i="18" s="1"/>
  <c r="B64" i="18"/>
  <c r="C64" i="18" s="1"/>
  <c r="B69" i="18"/>
  <c r="C69" i="18" s="1"/>
  <c r="B61" i="18"/>
  <c r="C61" i="18" s="1"/>
  <c r="B62" i="18"/>
  <c r="C62" i="18" s="1"/>
  <c r="B66" i="18"/>
  <c r="C66" i="18" s="1"/>
  <c r="B68" i="18"/>
  <c r="C68" i="18" s="1"/>
  <c r="B73" i="18"/>
  <c r="C73" i="18" s="1"/>
  <c r="C59" i="76" l="1"/>
  <c r="C60" i="76" s="1"/>
  <c r="C61" i="76" s="1"/>
  <c r="F6" i="71"/>
  <c r="I5" i="71"/>
  <c r="I8" i="71" s="1"/>
  <c r="J8" i="71" l="1"/>
  <c r="AH3" i="16" l="1"/>
  <c r="C21" i="28" s="1"/>
  <c r="L6" i="71"/>
  <c r="C54" i="28" l="1"/>
  <c r="F5" i="71" s="1"/>
  <c r="F8" i="71" s="1"/>
  <c r="C64" i="28"/>
  <c r="C66" i="28" s="1"/>
  <c r="C67" i="28" s="1"/>
  <c r="C74" i="76"/>
  <c r="H5" i="71" l="1"/>
  <c r="H8" i="71" s="1"/>
  <c r="B83" i="76"/>
  <c r="C83" i="76" s="1"/>
  <c r="B88" i="76"/>
  <c r="C88" i="76" s="1"/>
  <c r="B87" i="76"/>
  <c r="C87" i="76" s="1"/>
  <c r="B81" i="76"/>
  <c r="C81" i="76" s="1"/>
  <c r="B93" i="76"/>
  <c r="C93" i="76" s="1"/>
  <c r="B90" i="76"/>
  <c r="C90" i="76" s="1"/>
  <c r="B80" i="76"/>
  <c r="C80" i="76" s="1"/>
  <c r="B85" i="76"/>
  <c r="C85" i="76" s="1"/>
  <c r="B92" i="76"/>
  <c r="C92" i="76" s="1"/>
  <c r="B79" i="76"/>
  <c r="C79" i="76" s="1"/>
  <c r="B84" i="76"/>
  <c r="C84" i="76" s="1"/>
  <c r="B82" i="76"/>
  <c r="C82" i="76" s="1"/>
  <c r="B86" i="76"/>
  <c r="C86" i="76" s="1"/>
  <c r="B91" i="76"/>
  <c r="C91" i="76" s="1"/>
  <c r="B89" i="76"/>
  <c r="C89" i="76" s="1"/>
  <c r="L7" i="71" l="1"/>
  <c r="C94" i="76"/>
  <c r="C75" i="76" l="1"/>
  <c r="M6" i="71"/>
  <c r="C53" i="28" l="1"/>
  <c r="C59" i="28" s="1"/>
  <c r="Y3" i="16"/>
  <c r="AK3" i="16" s="1"/>
  <c r="AM3" i="16" s="1"/>
  <c r="C60" i="28" l="1"/>
  <c r="C74" i="28" s="1"/>
  <c r="C61" i="28"/>
  <c r="N3" i="16"/>
  <c r="C56" i="28" l="1"/>
  <c r="C5" i="71" s="1"/>
  <c r="C8" i="71" s="1"/>
  <c r="B93" i="28"/>
  <c r="C93" i="28" s="1"/>
  <c r="B90" i="28"/>
  <c r="C90" i="28" s="1"/>
  <c r="B83" i="28"/>
  <c r="C83" i="28" s="1"/>
  <c r="B81" i="28"/>
  <c r="C81" i="28" s="1"/>
  <c r="B91" i="28"/>
  <c r="C91" i="28" s="1"/>
  <c r="B79" i="28"/>
  <c r="C79" i="28" s="1"/>
  <c r="B89" i="28"/>
  <c r="C89" i="28" s="1"/>
  <c r="B85" i="28"/>
  <c r="C85" i="28" s="1"/>
  <c r="B87" i="28"/>
  <c r="C87" i="28" s="1"/>
  <c r="B86" i="28"/>
  <c r="C86" i="28" s="1"/>
  <c r="B88" i="28"/>
  <c r="C88" i="28" s="1"/>
  <c r="B80" i="28"/>
  <c r="C80" i="28" s="1"/>
  <c r="B92" i="28"/>
  <c r="C92" i="28" s="1"/>
  <c r="B84" i="28"/>
  <c r="C84" i="28" s="1"/>
  <c r="B82" i="28"/>
  <c r="C82" i="28" s="1"/>
  <c r="D5" i="71" l="1"/>
  <c r="D8" i="71" s="1"/>
  <c r="C94" i="28"/>
  <c r="C75" i="28" l="1"/>
  <c r="L5" i="71"/>
  <c r="L8" i="71" s="1"/>
  <c r="M5" i="71"/>
  <c r="M8" i="71" s="1"/>
</calcChain>
</file>

<file path=xl/sharedStrings.xml><?xml version="1.0" encoding="utf-8"?>
<sst xmlns="http://schemas.openxmlformats.org/spreadsheetml/2006/main" count="670" uniqueCount="380">
  <si>
    <t>PROGRAM IZVAJANJA</t>
  </si>
  <si>
    <t>Splošne zahteve:</t>
  </si>
  <si>
    <t>Pogodbeno zagotavljanje prihrankov</t>
  </si>
  <si>
    <t>diskontna stopnja</t>
  </si>
  <si>
    <t>SKUPAJ NSV:</t>
  </si>
  <si>
    <t>SKUPAJ</t>
  </si>
  <si>
    <t>NSV</t>
  </si>
  <si>
    <t>leto</t>
  </si>
  <si>
    <t>Izračun neto sedanje vrednosti:</t>
  </si>
  <si>
    <t>SKUPAJ neto sedanja vrednost prihranka v €</t>
  </si>
  <si>
    <t>ZAJAMČENI PRIHRANEK SKUPAJ v €</t>
  </si>
  <si>
    <t>Zajamčeni prihranek električne energije v €:</t>
  </si>
  <si>
    <t>Zajamčeni prihranek električne energije v  %:</t>
  </si>
  <si>
    <t>Zajamčeni prihranek električne energijev kWh:</t>
  </si>
  <si>
    <t>Novopričakovana raba električne energije v kWh:</t>
  </si>
  <si>
    <t>Zajamčeni prihranek toplote %:</t>
  </si>
  <si>
    <t>Zajamčeni prihranek toplote v €:</t>
  </si>
  <si>
    <t>Novopričakovana cena toplote v €/kWh:</t>
  </si>
  <si>
    <t>Zajamčeni prihranek toplote v kWh:</t>
  </si>
  <si>
    <t>Novopričakovana raba toplote v kWh:</t>
  </si>
  <si>
    <t>Seznam potrebnih ukrepov</t>
  </si>
  <si>
    <t>€</t>
  </si>
  <si>
    <t>€/kWh</t>
  </si>
  <si>
    <t>kWh</t>
  </si>
  <si>
    <t>Električna energija</t>
  </si>
  <si>
    <t>Toplotna energija</t>
  </si>
  <si>
    <t>Tip energenta:</t>
  </si>
  <si>
    <t>Neto površina m2:</t>
  </si>
  <si>
    <t>Oznaka</t>
  </si>
  <si>
    <t>Naslov:</t>
  </si>
  <si>
    <t>Objekt:</t>
  </si>
  <si>
    <t>Osnovni podatki o objektu</t>
  </si>
  <si>
    <t>OB1</t>
  </si>
  <si>
    <t>%</t>
  </si>
  <si>
    <t>id</t>
  </si>
  <si>
    <t>št.</t>
  </si>
  <si>
    <t xml:space="preserve">Neto sedanje vrednost prihrankov                   € </t>
  </si>
  <si>
    <t xml:space="preserve">ZAJAMČENI PRIHRANEK SKUPAJ                    € </t>
  </si>
  <si>
    <t>zajamčeni prihranek električne energije</t>
  </si>
  <si>
    <t>zajamčeni prihranek toplote</t>
  </si>
  <si>
    <t>C</t>
  </si>
  <si>
    <t>RAZLIKA MED DEJANSKIM IN ZAJAMČENIM PRIHRANKOM</t>
  </si>
  <si>
    <t>LETNE VREDNOSTI</t>
  </si>
  <si>
    <t>POGODBENE VREDNOSTI</t>
  </si>
  <si>
    <t>ID</t>
  </si>
  <si>
    <t>TOPLOTA</t>
  </si>
  <si>
    <t>faktor uporabe*: v primeru, da je različen od 1, priložen izračun</t>
  </si>
  <si>
    <t>cena  el. energije**</t>
  </si>
  <si>
    <t>prilagojena raba el. energije</t>
  </si>
  <si>
    <t>faktor uporabe*</t>
  </si>
  <si>
    <t>cena el. energije</t>
  </si>
  <si>
    <t>referenčna raba el. energije</t>
  </si>
  <si>
    <t>ELEKTRIČNA ENERGIJA</t>
  </si>
  <si>
    <t>el. energija</t>
  </si>
  <si>
    <t>toplota</t>
  </si>
  <si>
    <t>VSEBINA</t>
  </si>
  <si>
    <t>VZOREC OBRAČUNA</t>
  </si>
  <si>
    <t>VZOREC OBRAČUNOV</t>
  </si>
  <si>
    <t>OSNOVNI PODATKI O OBJEKTU</t>
  </si>
  <si>
    <t>STROŠKI SKUPAJ</t>
  </si>
  <si>
    <t>ime objekta</t>
  </si>
  <si>
    <t>naslov</t>
  </si>
  <si>
    <t>celotna kvadratura [m2]</t>
  </si>
  <si>
    <t>ogrevana kvadratura [m2]</t>
  </si>
  <si>
    <t>hlajena kvadratura [m2]</t>
  </si>
  <si>
    <t>število etaž</t>
  </si>
  <si>
    <t>višina etaže [m]</t>
  </si>
  <si>
    <t>prostornina [m3]</t>
  </si>
  <si>
    <t>leto izgradnje</t>
  </si>
  <si>
    <t>vrsta energenta</t>
  </si>
  <si>
    <t>enota</t>
  </si>
  <si>
    <t>PODATKI O OBJEKTIH</t>
  </si>
  <si>
    <t>REFERENČNE KOLIČINE</t>
  </si>
  <si>
    <t>OB2</t>
  </si>
  <si>
    <t>OB3</t>
  </si>
  <si>
    <t>UKREPI - SKUPAJ</t>
  </si>
  <si>
    <t>kurilnost 
[kWh / enoto]</t>
  </si>
  <si>
    <t xml:space="preserve">ELEKTRIČNA ENERGIJA </t>
  </si>
  <si>
    <t>Zajamčeni prihranek stroškov vzdrževanja v %:</t>
  </si>
  <si>
    <t>Zajamčeni prihranek stroškov vzdrževanja v €:</t>
  </si>
  <si>
    <t>Novopričakovani stroški vzdrževanja v €:</t>
  </si>
  <si>
    <t>Vzdrževanje</t>
  </si>
  <si>
    <t>Referenčna poraba in stroški (zneski brez DDV)</t>
  </si>
  <si>
    <t>zajamčeni prihranek vzdrževanja</t>
  </si>
  <si>
    <t>vzdrževanje</t>
  </si>
  <si>
    <t xml:space="preserve">Opombe: </t>
  </si>
  <si>
    <t>Poraba</t>
  </si>
  <si>
    <t>Strošek</t>
  </si>
  <si>
    <t xml:space="preserve">Cena </t>
  </si>
  <si>
    <t>Vrsta energenta</t>
  </si>
  <si>
    <t>Novopričakovan letni strošek toplote v € :</t>
  </si>
  <si>
    <t>Stroški predlaganih ukrepov v € brez DDV</t>
  </si>
  <si>
    <t>DDV v €</t>
  </si>
  <si>
    <t>Skupni stroški v € z DDV</t>
  </si>
  <si>
    <t xml:space="preserve">leto obnove </t>
  </si>
  <si>
    <t xml:space="preserve"> - namestitev termostatskih ventilov in posledično hidravlično uravnoteženje</t>
  </si>
  <si>
    <t xml:space="preserve"> - frekvenča regulacija črpalk</t>
  </si>
  <si>
    <t xml:space="preserve"> - zamenjava dotrajane razsvetlajve z energetsko učinkovito</t>
  </si>
  <si>
    <t xml:space="preserve"> - organizacijski ukrepi</t>
  </si>
  <si>
    <t xml:space="preserve"> - energetski management</t>
  </si>
  <si>
    <t xml:space="preserve"> - sanacija vlažnih zidov v notranjosti</t>
  </si>
  <si>
    <t xml:space="preserve"> - senčenje</t>
  </si>
  <si>
    <t xml:space="preserve"> - izolacija sten - fasada na novejšem delu objekta</t>
  </si>
  <si>
    <t xml:space="preserve"> - izolacija podstrešja</t>
  </si>
  <si>
    <t xml:space="preserve"> - sanacija podpostaje</t>
  </si>
  <si>
    <t xml:space="preserve"> - klimatizacija</t>
  </si>
  <si>
    <t xml:space="preserve"> - drenaža</t>
  </si>
  <si>
    <t xml:space="preserve"> - sanaija fasade starejšega dela objekta</t>
  </si>
  <si>
    <t>daljinsko ogrevanje</t>
  </si>
  <si>
    <t>PRILOGE</t>
  </si>
  <si>
    <t>2. Koncesionar mora ukrepe v pogodbeni dobi  izvajati in vzdrževati skladno z veljavnimi predpisi in standardi.</t>
  </si>
  <si>
    <t>3. S svojimi ukrepi koncesionar ne sme znižati standarda (temperature v prostorih, prezračevanje), ki je predpisan v standardu SIST EN 12831 in Smernicami VDI 2067. Če ti pogoji pred ukrepi niso bili doseženi, je potrebno to upoštevati pri referenčnih količinah.</t>
  </si>
  <si>
    <t>NEINVESTICIJSKI UKREPI ZA IZBOLJŠANJE ENERGETSKE UČINKOVITOSTI:</t>
  </si>
  <si>
    <t xml:space="preserve"> - izobraževanje koncedenta in uporabnikov v zvezi s storitvijo energetskega managementa</t>
  </si>
  <si>
    <t>INVESTICIJSKI UKREPI ZA IZBOLJŠANJE ENERGETSKE UČINKOVITOSTI:</t>
  </si>
  <si>
    <t>faktor upor.*
udobje</t>
  </si>
  <si>
    <t>faktor upor.*
št. uporabnikov</t>
  </si>
  <si>
    <t>skupni faktor prilagoditve</t>
  </si>
  <si>
    <t>Strošek toplote skupaj (€)</t>
  </si>
  <si>
    <t>dovedena energija [kWh]</t>
  </si>
  <si>
    <t>Referenčna poraba/strošek</t>
  </si>
  <si>
    <t>Referenčna raba električne energije skupaj (kWh)</t>
  </si>
  <si>
    <t xml:space="preserve"> - električna energija za razsvetljavo (kWh)</t>
  </si>
  <si>
    <t xml:space="preserve"> - električna energija za ostalo (kWh)</t>
  </si>
  <si>
    <t>Strošek električne energije skupaj (€)</t>
  </si>
  <si>
    <t>Cena električne energije (€/kWh)</t>
  </si>
  <si>
    <t>Strošek tekočega in investicijskega vzdrževanja (€)</t>
  </si>
  <si>
    <t>Vrsta energije</t>
  </si>
  <si>
    <t>Prilagojena referenčna poraba/strošek</t>
  </si>
  <si>
    <t xml:space="preserve">Seznam predvidenih ukrepov </t>
  </si>
  <si>
    <t>Stroški predlaganih ukrepov brez DDV</t>
  </si>
  <si>
    <t>DDV (22%)</t>
  </si>
  <si>
    <t>Skupni stroški z DDV</t>
  </si>
  <si>
    <t>Cena električne energije v €/kWh:</t>
  </si>
  <si>
    <t>Zajamčeni prihranek električne energije v kWh:</t>
  </si>
  <si>
    <t>Novopričakovan letni dejanski strošek električne energije v € :</t>
  </si>
  <si>
    <t>Novopričakovani strošek tekočega in investicijskega vzdrževanja v €:</t>
  </si>
  <si>
    <t>Zajamčeni prihranek stroškov tekočega in investicijskega vzdrževanja v €:</t>
  </si>
  <si>
    <t>Zajamčeni prihranek stroškov tekočega in investicijskega vzdrževanja v %:</t>
  </si>
  <si>
    <t>Predvidena struktura proizvodnje toplote iz posameznega energenta po izvedenih ukrepih:</t>
  </si>
  <si>
    <t>Način obračuna</t>
  </si>
  <si>
    <t>Koristna energija</t>
  </si>
  <si>
    <t>dejanska neprilagojena raba vhodnih energentov 
(odčitki merilnikov porabe energentov)</t>
  </si>
  <si>
    <t>prilagoditve</t>
  </si>
  <si>
    <t>prilagojena raba toplote</t>
  </si>
  <si>
    <t>prilagojena dejanska / normalizirana raba toplote</t>
  </si>
  <si>
    <t>prilagojena raba vhodnih energentov</t>
  </si>
  <si>
    <t>prilagojen strošek vhodnih energentov</t>
  </si>
  <si>
    <t>prilagojen dejanski/ normaliziran strošek vhodnih energentov</t>
  </si>
  <si>
    <t xml:space="preserve">dejanski / normirani 
prihranek vhodnih energentov in stroškov </t>
  </si>
  <si>
    <t>Zajamčeni prihranki</t>
  </si>
  <si>
    <t>kW</t>
  </si>
  <si>
    <t>raba energenta
v kWh</t>
  </si>
  <si>
    <t>referenčna cena energenta v €/kWh</t>
  </si>
  <si>
    <t>strošek energenta v €</t>
  </si>
  <si>
    <t xml:space="preserve">zajamčeni/ normalizirani prihranek v €
</t>
  </si>
  <si>
    <t>raba v kWh</t>
  </si>
  <si>
    <t>ref. cena v €/kWh</t>
  </si>
  <si>
    <t>Merjeni prihranki</t>
  </si>
  <si>
    <t>SKUPAJ OB1</t>
  </si>
  <si>
    <t>Ogrevanje</t>
  </si>
  <si>
    <t>Koristna energija - Namen porabe električne energije</t>
  </si>
  <si>
    <t>skupna priključna moč porabnikov</t>
  </si>
  <si>
    <t>nova skupna priključna moč porabnikov</t>
  </si>
  <si>
    <t>zajamčena nova raba el. energije</t>
  </si>
  <si>
    <t>izmerjena letna povprečna skupna priključna moč uporabnikov</t>
  </si>
  <si>
    <t>normalizirana/dejanska  raba el. energije</t>
  </si>
  <si>
    <t>dejanski / normalizirani prihranek el. energije</t>
  </si>
  <si>
    <t>Razsvetljava</t>
  </si>
  <si>
    <t xml:space="preserve">Naprave za ogrevanje </t>
  </si>
  <si>
    <t>Naprave za prezračevanje</t>
  </si>
  <si>
    <t>Naprave za pohlajevanje</t>
  </si>
  <si>
    <t>Ostala poraba</t>
  </si>
  <si>
    <t>Naprave za ogrevanje</t>
  </si>
  <si>
    <t>POVZETEK dejanskih prihrankov</t>
  </si>
  <si>
    <t>SKUPAJ zajamčeni prihranek</t>
  </si>
  <si>
    <t>DOBROPIS:</t>
  </si>
  <si>
    <t>BREMEPIS:</t>
  </si>
  <si>
    <t>SKUPAJ OB2</t>
  </si>
  <si>
    <t>Vsi zneski so BREZ DDV.</t>
  </si>
  <si>
    <t>zajamčeni prihranek el. energije</t>
  </si>
  <si>
    <t>Količina dovedene energije (kWh)</t>
  </si>
  <si>
    <t>NOVOPRIČAKOVANA RABA  DOVEDENE ENERGIJE</t>
  </si>
  <si>
    <t>dovedena energija s prilagoditvami [kWh]</t>
  </si>
  <si>
    <t>nova raba dovedene energije v kWh</t>
  </si>
  <si>
    <t>Novopričakovana raba dovedene energije in zajamčeni prihranek dovedene energije</t>
  </si>
  <si>
    <t>dejanska neprilagojena raba DOVEDENE ENERGIJE</t>
  </si>
  <si>
    <t>dovedena energija s prilagoditvami</t>
  </si>
  <si>
    <t>prilagojen strošek dovedene energije</t>
  </si>
  <si>
    <t xml:space="preserve"> cena dovedene energije</t>
  </si>
  <si>
    <t>Vir dovedene energije za ogrevanje</t>
  </si>
  <si>
    <t>OB02</t>
  </si>
  <si>
    <t>OB01</t>
  </si>
  <si>
    <t>namembnost objekta</t>
  </si>
  <si>
    <t>prilagoditev (npr. dvig udobja)
[kWh]</t>
  </si>
  <si>
    <t>specifična raba elektrike
[kWh/m2]</t>
  </si>
  <si>
    <t>prilagojena raba električne energije
[kWh]</t>
  </si>
  <si>
    <t>raba električne energije [kWh]</t>
  </si>
  <si>
    <t>referenčna cena električne energije [€/kWh]</t>
  </si>
  <si>
    <t>prilagoditev rabe električne energije
[kWh]</t>
  </si>
  <si>
    <t>SKUPAJ VSI STROŠKI 
[€ brez DDV]</t>
  </si>
  <si>
    <t>SKUPAJ STROŠEK ENERGENTOV
[€ brez DDV]</t>
  </si>
  <si>
    <t>prilagojen letni strošek električne energije
[€ brez DDV]</t>
  </si>
  <si>
    <t>referenčni strošek električne energije 
[€ brez DDV]</t>
  </si>
  <si>
    <t>Energetsko upravljanje je sklop storitev, ki zajemajo:</t>
  </si>
  <si>
    <t>S sistemom upravljanja mora izvajalec vzpostaviti proces stalnega spremljanja rabe energije in stroškov za oskrbo z energijo, njihovo analizo ter predlog ukrepanja ob negativnih odstopanjih.</t>
  </si>
  <si>
    <t>Spremljanje porabe</t>
  </si>
  <si>
    <t>Pregled porabe energentov v objektu</t>
  </si>
  <si>
    <t>Spremljanje stroškov</t>
  </si>
  <si>
    <t>Spremljanje stroškov energentov</t>
  </si>
  <si>
    <t>Spremljanje stroškov vode</t>
  </si>
  <si>
    <t>Spremljanje stroškov vzdrževanja</t>
  </si>
  <si>
    <t>Analizo porabe energije</t>
  </si>
  <si>
    <t>Analiza porabe energije glede na dnevni temperaturni primanjkljaj</t>
  </si>
  <si>
    <t>Analiza porabe energije glede na število uporabnikov</t>
  </si>
  <si>
    <t>Primerjava porabe med leti</t>
  </si>
  <si>
    <t>Primerjava podobnih objektov med seboj</t>
  </si>
  <si>
    <t>Izdelavo poročil</t>
  </si>
  <si>
    <t>Avtomatsko generiranje poročil</t>
  </si>
  <si>
    <t>Dinamična določitev periode generiranja</t>
  </si>
  <si>
    <t>Opombe</t>
  </si>
  <si>
    <t>Temperatura STV 
(°C)</t>
  </si>
  <si>
    <t>STANDARD UDOBJA V OBJEKTIH</t>
  </si>
  <si>
    <t>Obremenjenost prostora  (oseb/m2)</t>
  </si>
  <si>
    <t>Notranja
temp. zraka
(°C)</t>
  </si>
  <si>
    <t>Toleranca* (°C)</t>
  </si>
  <si>
    <t>Relativna vlažnost zraka 
(%)</t>
  </si>
  <si>
    <t>Povprečna vzdrževana osvetljenost (lux)
EN 12464-1</t>
  </si>
  <si>
    <t>40 - 60</t>
  </si>
  <si>
    <t>Sanitarije</t>
  </si>
  <si>
    <t>Pisarne, upravni prostori</t>
  </si>
  <si>
    <t>Avla, avditorij, skupni prostori, hodniki, jedilnica</t>
  </si>
  <si>
    <t>Servisni prostori</t>
  </si>
  <si>
    <t>Minimalna temperatura sanitarne tople vode:</t>
  </si>
  <si>
    <t>Lokacija meritve</t>
  </si>
  <si>
    <t>Na iztočnem mestu (pipa)</t>
  </si>
  <si>
    <t>Minimalno ugodje v prostorih v času izvajanja ogrevanja (pozimi):</t>
  </si>
  <si>
    <t>Vrsta stavbe/prostora:</t>
  </si>
  <si>
    <r>
      <t>Max. koncentracija CO</t>
    </r>
    <r>
      <rPr>
        <b/>
        <vertAlign val="subscript"/>
        <sz val="11"/>
        <color theme="0"/>
        <rFont val="Bookman Old Style"/>
        <family val="1"/>
        <charset val="238"/>
      </rPr>
      <t xml:space="preserve">2 </t>
    </r>
    <r>
      <rPr>
        <b/>
        <sz val="11"/>
        <color theme="0"/>
        <rFont val="Bookman Old Style"/>
        <family val="1"/>
        <charset val="238"/>
      </rPr>
      <t xml:space="preserve"> 
(ppm)</t>
    </r>
  </si>
  <si>
    <r>
      <t>Količina svežega zraka v primeru mehanskega prezračevanja (m</t>
    </r>
    <r>
      <rPr>
        <b/>
        <vertAlign val="superscript"/>
        <sz val="11"/>
        <color theme="0"/>
        <rFont val="Bookman Old Style"/>
        <family val="1"/>
        <charset val="238"/>
      </rPr>
      <t>3</t>
    </r>
    <r>
      <rPr>
        <b/>
        <sz val="11"/>
        <color theme="0"/>
        <rFont val="Bookman Old Style"/>
        <family val="1"/>
        <charset val="238"/>
      </rPr>
      <t>/h m</t>
    </r>
    <r>
      <rPr>
        <b/>
        <vertAlign val="superscript"/>
        <sz val="11"/>
        <color theme="0"/>
        <rFont val="Bookman Old Style"/>
        <family val="1"/>
        <charset val="238"/>
      </rPr>
      <t>2</t>
    </r>
    <r>
      <rPr>
        <b/>
        <sz val="11"/>
        <color theme="0"/>
        <rFont val="Bookman Old Style"/>
        <family val="1"/>
        <charset val="238"/>
      </rPr>
      <t>)</t>
    </r>
  </si>
  <si>
    <t>Vrednosti so smiselno povzete po pravilniku SIST EN 12831, Pravilnik o prezračevanju stavb (UL RS 42/2002) oziroma na podlagi izkušenj.</t>
  </si>
  <si>
    <t>Pravilnik o pitni vodi in Priporočila IVZ – NIJZ (Nacionalni inštitut za javno zdravje)</t>
  </si>
  <si>
    <t>Pravilnik o normativih in minimalnih tehničnih pogojih za prostor in opremo vrtca (UR RS 73/00, 75/05, 33/08, 126/08, 47/10, 47/13,74/16)</t>
  </si>
  <si>
    <t>Meje odgovornosti koncesionarja za doseganje standardov udobja:</t>
  </si>
  <si>
    <t>Koncesionar je odgovoren za doseganje standardov udobja zgolj v obsegu, ki ga tehnično omogočajo ukrepi, ki jih je v okviru izvajanja koncesije izvedel koncesionar.</t>
  </si>
  <si>
    <t>Koncesionar ni dolžan zagotavljati doseganja predpisanega standarda osvetlitve, če s svojimi ukrepi ne posega v obstoječe sisteme notranje razsvetljave.</t>
  </si>
  <si>
    <r>
      <t>Koncesionar ni dolžan zagotavljati doseganje predpisanega standarda prezračevanja (CO</t>
    </r>
    <r>
      <rPr>
        <vertAlign val="subscript"/>
        <sz val="11"/>
        <color theme="1"/>
        <rFont val="Bookman Old Style"/>
        <family val="1"/>
        <charset val="238"/>
      </rPr>
      <t>2</t>
    </r>
    <r>
      <rPr>
        <sz val="11"/>
        <color theme="1"/>
        <rFont val="Bookman Old Style"/>
        <family val="1"/>
        <charset val="238"/>
      </rPr>
      <t>, izmenjeva svežega zraka), če objekti nimajo vgrajenih sistemov prisilnih prezračevanj oz. le-ti niso predmet ukrepov energetske sanacije objektov koncedenta.</t>
    </r>
  </si>
  <si>
    <t>Koncesionar ni odgovoren za nedoseganje predpisanih standardov udobja, v kolikor so odstopanja posledica ravnanja uporabnikov objekta.</t>
  </si>
  <si>
    <t>Koncesionar ni odgovoren za nedoseganje predpisanih standardov udobja, v kolikor so odstopanja posledica  nezanesljive, nekvalitetne in nepravočasne dobave primarnih energentov s strani koncedenta oz. uporabnikov (npr. dobava biomase, ki ne dosega predpisanih standardov kvalitete določene s projekti Obratovanja in vzdrževanja).</t>
  </si>
  <si>
    <t>Koncesionar ni odgovoren za nedoseganje predpisanih standardov udobja, v kolikor so odstopanja posledica neizvajanja nujno potrebnih vzdrževalnih del na instalacijah, ki niso predmet vzdrževanja koncesionarja in jih je skladno z določenimi mejami projekta tudi nadalje dolžan izvajati koncedent (npr. menjava okvarjenih grelnih teles, radiatorjev, zamenjava dotrajane interne instalacije).</t>
  </si>
  <si>
    <t>Koncesionar ni odgovoren za nedoseganje predpisanih standardov udobja, v kolikor so odstopanja posledica prekinitev ali motene dobave s strani pooblaščenih operaterjev distribucijskih omrežij (električna energija, zemeljski plin, daljinsko ogrevanje).</t>
  </si>
  <si>
    <t>raba električne energije za razsvetljavo 
[kWh]</t>
  </si>
  <si>
    <t>raba električne energije za ostalo
[kWh]</t>
  </si>
  <si>
    <t>UKREPI (PO OBJEKTIH)</t>
  </si>
  <si>
    <t>*OPOMBA: Toleranca v - (navzdol) je dopustna samo v določenih delih dneva (jutranji zagoni, prezračevanje tekom dneva..) in ne sme presegati 15% obratovalnega časa dnevno.</t>
  </si>
  <si>
    <t>Št.</t>
  </si>
  <si>
    <t>raba energenta [litri, kWh]</t>
  </si>
  <si>
    <t xml:space="preserve">ZAJAMČENI LETNI PRIHRANEK SKUPAJ
€ </t>
  </si>
  <si>
    <t>ZAJAMČENI LETNI PRIHRANEK SKUPAJ v €</t>
  </si>
  <si>
    <t>Referenčna letna raba in stroški energije, stroški vzdrževanja</t>
  </si>
  <si>
    <t>Novopričakovana letna raba in prihranki</t>
  </si>
  <si>
    <t>SEZNAM OBJEKTOV</t>
  </si>
  <si>
    <t>Naziv objekta</t>
  </si>
  <si>
    <t>Naslov</t>
  </si>
  <si>
    <t>Tip objekta</t>
  </si>
  <si>
    <t>OPOMBA:</t>
  </si>
  <si>
    <t>- Podatki o objektih so razvidni iz Razširjenih energetskih pregledov objektov, ki so v prilogi</t>
  </si>
  <si>
    <t xml:space="preserve">Kontaktna oseba upravljavca </t>
  </si>
  <si>
    <t>Kontaktne osebe:</t>
  </si>
  <si>
    <t>* V primeru izvedbe ukrepov, ki dvigujejo udobje, ponudnik vpiše prilagoditev rabe toplote oz. elektrike ob ustrezni utemeljitvi</t>
  </si>
  <si>
    <t xml:space="preserve">** Stroški vzdrževanja energetskih naprav vključujejo tekoče vzdrževanje, redno servisiranje, zakonske preglede ipd. </t>
  </si>
  <si>
    <t xml:space="preserve">III. </t>
  </si>
  <si>
    <t>ZAHTEVE NAROČNIKA GLEDE SISTEMA ENERGETSKEGA UPRAVLJANJA</t>
  </si>
  <si>
    <t>-       analizo rabe energije ter stroškov oskrbe z energijo,</t>
  </si>
  <si>
    <t>-       oceno možnih prihrankov energije in stroškov za oskrbo z energijo,</t>
  </si>
  <si>
    <t>-       določitev ukrepov za doseganje teh prihrankov ter oceno njihove izvedljivosti,</t>
  </si>
  <si>
    <t>-       izvedbo ukrepov za doseganje teh prihrankov,</t>
  </si>
  <si>
    <t>-       spremljanje rabe energije in stroškov za energijo, analizo, primerjavo doseganja rezultatov s pričakovanimi,</t>
  </si>
  <si>
    <t>-       ukrepanje ob negativnih odstopanjih.</t>
  </si>
  <si>
    <t>Naročnik je že pridobil podatke za objekte, ki zajemajo osnovno analizo rabe energije in stroškov oskrbe z energijo ter oceno možnih prihrankov energije in stroškov za oskrbo z energijo.</t>
  </si>
  <si>
    <t>Ker na nekaterih objektih ni merilnih naprav za merjenje rabe energije za ogrevanje, mora izvajalec v soglasju z naročnikom vzpostaviti meritve in izvesti vgradnjo merilnih naprav.</t>
  </si>
  <si>
    <t>Energetsko knjigovodstvo, ki ga bo v okviru te pogodbe vzpostavil izvajalec pri naročniku in izvajalcu, mora omogočiti:</t>
  </si>
  <si>
    <t>Program mora omogočati spremljanje porabe in stroškov na letnem in mesečnem nivoju. Vnos podatkov mora zagotavljati izvajalec.</t>
  </si>
  <si>
    <t>Naročnik bo določil uporabnike in njihove pravice za pregledovanje podatkov. Vsak mesec bo do določenega dogovorjenega datuma v mesecu izvajalcu dostavil podatke iz računov za vzdrževanje objektov.</t>
  </si>
  <si>
    <t>Izvajalec ob začetku izvajanja storitve izvede izobraževanje naročnika za pregled podatkov, možnosti pregledovanja analiz in možnosti generiranja poročil. Naročnik lahko tudi določi, katere analize in poročila je izvajalec vsak mesec dolžan pošiljati določenim osebam naročnika.</t>
  </si>
  <si>
    <t>Izvajalec je dolžan 1x letno  naročniku predstaviti rezultate analiz, izdelanih na osnovi energetskega knjigovodstva ter učinkov ukrepov po tej pogodbi v pogodbeno dogovorjenih rokih.</t>
  </si>
  <si>
    <t>I.</t>
  </si>
  <si>
    <r>
      <rPr>
        <b/>
        <sz val="14"/>
        <color indexed="8"/>
        <rFont val="Times New Roman"/>
        <family val="1"/>
        <charset val="238"/>
      </rPr>
      <t xml:space="preserve"> </t>
    </r>
    <r>
      <rPr>
        <b/>
        <sz val="14"/>
        <color indexed="8"/>
        <rFont val="Bookman Old Style"/>
        <family val="1"/>
        <charset val="238"/>
      </rPr>
      <t>UKREPI ZAHTEVANI S STRANI KONCEDENTA ZA ZAGOTAVLJANJE PRIHRANKA</t>
    </r>
  </si>
  <si>
    <t>4. S svojimi ukrepi koncesionar ne sme znižati standarda (osvetlitve), ki je predpisan v standardu SIST EN 12464-1:2011 Če ti pogoji pred izvedbo ukrepov niso bili doseženi, je potrebno to upoštevati pri referenčnih količinah.</t>
  </si>
  <si>
    <t>5. Kjer standard v prostorih ni natančno popisan, mora koncesionar po podpisu pogodbe v prvi ogrevalni sezoni v prostorih popisati standarde (temperature, osvetlitve,...). Koncedent in koncesionar za vsak objekt določita točke merjenja udobja pred izvedbo ukrepov. Predmetne točke merjenja se uporabljajo tudi za ugotavljanje doseganja standardov udobja v času izvajanja glavne storitve.</t>
  </si>
  <si>
    <r>
      <t>6.</t>
    </r>
    <r>
      <rPr>
        <sz val="11"/>
        <color indexed="8"/>
        <rFont val="Times New Roman"/>
        <family val="1"/>
        <charset val="238"/>
      </rPr>
      <t xml:space="preserve"> K</t>
    </r>
    <r>
      <rPr>
        <sz val="11"/>
        <color indexed="8"/>
        <rFont val="Bookman Old Style"/>
        <family val="1"/>
        <charset val="238"/>
      </rPr>
      <t>oncesionar po podpisu pogodbe do začetka izvajanja glavne storitve zbrati in preveriti podatke iz razširjenih energetskih pregledov, ki so potrebni za ugotavljanje morebitnih sprememb uporabe objektov (število uporabnikov, urniki, porabniki energije).</t>
    </r>
  </si>
  <si>
    <t>7. Kjer so referenčne vrednosti rabe energije podane v energiji porabljenega goriva  in še ni uvedenih meritev, mora koncesionar do dogovorjenega roka po pogodbi (pripravljalna storitev) vgraditi merilne naprave.</t>
  </si>
  <si>
    <t>8. Koncesionar mora do začetka izvajanja glavne storitve vzpostaviti sistem energetskega upravljanja za vse objekte iz seznama stavb naročnika po zahtevah določenih v zavihku Energetsko upravljanje.</t>
  </si>
  <si>
    <t>1. Vsi pripravljalni ukrepi morajo biti izvedeni skladno z veljavnimi predpisi in standardi. Pri energetskih sanacijah objektov kulturne dediščine upoštevati Smernice za energetsko prenovo stavb kulturne dediščine in izdane kulturovarstvene pogoje pristojnega Zavoda za varstvo kulturne dediščine.  Vsa dela morajo biti izvedena skladno s pravili stroke.</t>
  </si>
  <si>
    <r>
      <t>9.</t>
    </r>
    <r>
      <rPr>
        <sz val="11"/>
        <color indexed="8"/>
        <rFont val="Times New Roman"/>
        <family val="1"/>
        <charset val="238"/>
      </rPr>
      <t xml:space="preserve"> </t>
    </r>
    <r>
      <rPr>
        <sz val="11"/>
        <color indexed="8"/>
        <rFont val="Bookman Old Style"/>
        <family val="1"/>
        <charset val="238"/>
      </rPr>
      <t>Koncesionar mora zagotoviti izobraževanje koncedenta, upravljavca in uporabnikov.</t>
    </r>
  </si>
  <si>
    <t xml:space="preserve">NETO SEDANJA VREDNOST PRIHRANKOV 
€ </t>
  </si>
  <si>
    <t>SKUPAJ STROŠKI UKREPOV
€</t>
  </si>
  <si>
    <t>Dokazno breme obstoja ekskulpacijskih razlogov za zgoraj navedene meje odgovornosti koncesionarja je na strani koncesionarja.</t>
  </si>
  <si>
    <t>STANDARD UDOBJA</t>
  </si>
  <si>
    <t>UKREPI - SPLOŠNE ZAHTEVE</t>
  </si>
  <si>
    <t>ENERGETSKO UPRAVLJANJE</t>
  </si>
  <si>
    <t>CELOVITA ENERGETSKA SANACIJA</t>
  </si>
  <si>
    <t>zajamčeni prihranek električne energije * brez TČ</t>
  </si>
  <si>
    <t>specifična raba energije za ogrevanje in TSV
[kWh/m2]</t>
  </si>
  <si>
    <t>cena energenta za toploto [€/MWh]</t>
  </si>
  <si>
    <t>TOPLOTA (ogrevanje in TSV)</t>
  </si>
  <si>
    <t>raba energenta za ogrevanje
[kWh]</t>
  </si>
  <si>
    <t>raba energenta za STV
[kWh]</t>
  </si>
  <si>
    <t xml:space="preserve"> -za ogrevanje (kWh)</t>
  </si>
  <si>
    <t xml:space="preserve"> -za STV</t>
  </si>
  <si>
    <t xml:space="preserve"> -ostalo (kWh)</t>
  </si>
  <si>
    <t>Cena energenta (€/kWh)</t>
  </si>
  <si>
    <t>Novopričakovana raba za toploto - energent 1, kWh:</t>
  </si>
  <si>
    <t>energent 1</t>
  </si>
  <si>
    <t>energent 2</t>
  </si>
  <si>
    <t>energent 3</t>
  </si>
  <si>
    <t>energent 4</t>
  </si>
  <si>
    <t>energent 5</t>
  </si>
  <si>
    <t>energent 6</t>
  </si>
  <si>
    <t>Novopričakovana raba za toploto - energent 2, kWh:</t>
  </si>
  <si>
    <t>Cena energent 1, €/kWh:</t>
  </si>
  <si>
    <t>Cena energent 2, €/kWh:</t>
  </si>
  <si>
    <t>referenčni strošek energentov za toploto [€ brez DDV]</t>
  </si>
  <si>
    <t>prilagojen letni strošek energentov za toploto [€ brez DDV]</t>
  </si>
  <si>
    <t>Zajamčeni dejanski prihranek energenta 1, kWh</t>
  </si>
  <si>
    <t>Zajamčeni dejanski prihranek energenta 2, kWh</t>
  </si>
  <si>
    <t>Novopričakovan letni dejanski strošek energentov za toploto, €</t>
  </si>
  <si>
    <t>Novopričakovana raba električne energije, kWh:</t>
  </si>
  <si>
    <t>zajamčeni prihranek energenta 1 za toploto</t>
  </si>
  <si>
    <t>zajamčeni prihranek energenta 2 za toploto</t>
  </si>
  <si>
    <t>Referenčna poraba energenta za toploto (energent 1)(kWh)</t>
  </si>
  <si>
    <t>*vpiši energent</t>
  </si>
  <si>
    <t xml:space="preserve">Zajamčeni prihranek ter prihranek v ceni toplote, €: </t>
  </si>
  <si>
    <t>Zajamčeni prihranek stroška za toploto, %</t>
  </si>
  <si>
    <t xml:space="preserve">Zajamčeni prihranek ter prihranek v ceni el. energije v €: </t>
  </si>
  <si>
    <t>*EE za TČ se upošteva pri toploti</t>
  </si>
  <si>
    <t>***Stroški in cene vključujejo celoten strošek pridobitve energije, ki vključuje omrežnino, distribucijo, prispevke in trošarine (brez DDV).</t>
  </si>
  <si>
    <t>Cena energent 3, €/kWh:</t>
  </si>
  <si>
    <t>Zajamčeni dejanski prihranek energenta 3, kWh</t>
  </si>
  <si>
    <t>Novopričakovana raba za toploto - energent 3, kWh:</t>
  </si>
  <si>
    <t>*v primeru vnosa novega energenta je potrebno prilagoditi tudi enačbo v celici</t>
  </si>
  <si>
    <t>Novopričakovan letni dejanski strošek energentov za toploto, €*</t>
  </si>
  <si>
    <t>Novopričakovana raba električne energije, kWh:*</t>
  </si>
  <si>
    <t>STROŠEK TEKOČEGA  IN INVESTICIJSKEGA VZDRŽEVANJA ENERGETSKIH NAPRAV [€ brez DDV]</t>
  </si>
  <si>
    <t>*obstoječi energent</t>
  </si>
  <si>
    <t xml:space="preserve">*prilagoditev rabe toplote oz elektrike </t>
  </si>
  <si>
    <t>Razlog</t>
  </si>
  <si>
    <t>*vpiši razlog</t>
  </si>
  <si>
    <t>Metodologija prilagoditve</t>
  </si>
  <si>
    <t>Izračun prilagoditve</t>
  </si>
  <si>
    <t>*vpiši</t>
  </si>
  <si>
    <t xml:space="preserve">Poraba vhodnega energenta 2
</t>
  </si>
  <si>
    <t xml:space="preserve">nov strošek energentov za toploto v €
</t>
  </si>
  <si>
    <t xml:space="preserve">Poraba vhodnega energenta 1
</t>
  </si>
  <si>
    <t>Energent 1</t>
  </si>
  <si>
    <t>Energent 2</t>
  </si>
  <si>
    <t>raba v  kWh</t>
  </si>
  <si>
    <t>faktor TP</t>
  </si>
  <si>
    <t>OB03</t>
  </si>
  <si>
    <t>*električna energija za toplotno črpalko (če ni predvideno se pusti prazno)</t>
  </si>
  <si>
    <t>EE za TČ</t>
  </si>
  <si>
    <t>± 1</t>
  </si>
  <si>
    <t>Osnovna šola Kobilje</t>
  </si>
  <si>
    <t>Kobilje 33A</t>
  </si>
  <si>
    <t>Športna dvorana Radenci</t>
  </si>
  <si>
    <t>Radgonska cesta 10</t>
  </si>
  <si>
    <t>Osnovna šola in vzgojni dom Veržej</t>
  </si>
  <si>
    <t>Puščenjakova ulica 7</t>
  </si>
  <si>
    <t>Izobraževanje</t>
  </si>
  <si>
    <t>Šport in izobraževanje</t>
  </si>
  <si>
    <t>UNP</t>
  </si>
  <si>
    <t>ZP</t>
  </si>
  <si>
    <t>ELKO</t>
  </si>
  <si>
    <t>Osnovna šola - Učilnica</t>
  </si>
  <si>
    <t>Telovadnica, športna dvorana</t>
  </si>
  <si>
    <t>Garderobe šola, vrtec, šp. Dvorana</t>
  </si>
  <si>
    <t>l</t>
  </si>
  <si>
    <t>m3</t>
  </si>
  <si>
    <t>Določena referenčna vrednost temperaturnega primanjkljaja v vrednosti povprečja let 2016 in 2017 in 2018 znaša 2867 Kdan.</t>
  </si>
  <si>
    <t>Referenčni letni temperaturni primanjkljaj na lokaciji Radenci, oznaka postaje: 336.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</si>
</sst>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4">
    <numFmt numFmtId="5" formatCode="#,##0\ &quot;€&quot;;\-#,##0\ &quot;€&quot;"/>
    <numFmt numFmtId="44" formatCode="_-* #,##0.00\ &quot;€&quot;_-;\-* #,##0.00\ &quot;€&quot;_-;_-* &quot;-&quot;??\ &quot;€&quot;_-;_-@_-"/>
    <numFmt numFmtId="164" formatCode="_-* #,##0.00\ _€_-;\-* #,##0.00\ _€_-;_-* &quot;-&quot;??\ _€_-;_-@_-"/>
    <numFmt numFmtId="165" formatCode="#,##0.00\ &quot;€&quot;"/>
    <numFmt numFmtId="166" formatCode="#,##0.00000"/>
    <numFmt numFmtId="167" formatCode="_-* #,##0\ &quot;€&quot;_-;\-* #,##0\ &quot;€&quot;_-;_-* &quot;-&quot;??\ &quot;€&quot;_-;_-@_-"/>
    <numFmt numFmtId="168" formatCode="#,##0.00000\ _€"/>
    <numFmt numFmtId="169" formatCode="_-* #,##0.0000\ &quot;€&quot;_-;\-* #,##0.0000\ &quot;€&quot;_-;_-* &quot;-&quot;??\ &quot;€&quot;_-;_-@_-"/>
    <numFmt numFmtId="170" formatCode="_-* #,##0\ _€_-;\-* #,##0\ _€_-;_-* &quot;-&quot;??\ _€_-;_-@_-"/>
    <numFmt numFmtId="171" formatCode="#,##0\ &quot;kWh&quot;_-"/>
    <numFmt numFmtId="172" formatCode="#,##0.00000\ &quot;€/kWh&quot;_-"/>
    <numFmt numFmtId="173" formatCode="#,##0\ &quot;kWh&quot;"/>
    <numFmt numFmtId="174" formatCode="#,##0.00000\ &quot;€/kWh&quot;"/>
    <numFmt numFmtId="175" formatCode="#,##0.0000"/>
    <numFmt numFmtId="176" formatCode="0.0000"/>
    <numFmt numFmtId="177" formatCode="_-* #,##0.0\ &quot;€&quot;_-;\-* #,##0.0\ &quot;€&quot;_-;_-* &quot;-&quot;????\ &quot;€&quot;_-;_-@_-"/>
    <numFmt numFmtId="178" formatCode="#,##0.000"/>
    <numFmt numFmtId="179" formatCode="#,##0.0000\ &quot;€/kWh&quot;"/>
    <numFmt numFmtId="180" formatCode="_-* #,##0.0\ _€_-;\-* #,##0.0\ _€_-;_-* &quot;-&quot;??\ _€_-;_-@_-"/>
    <numFmt numFmtId="181" formatCode="0.0"/>
    <numFmt numFmtId="182" formatCode="_-* #,##0.00\ [$€-1]_-;\-* #,##0.00\ [$€-1]_-;_-* &quot;-&quot;??\ [$€-1]_-;_-@_-"/>
    <numFmt numFmtId="183" formatCode="_-* #,##0.00000\ &quot;€&quot;_-;\-* #,##0.00000\ &quot;€&quot;_-;_-* &quot;-&quot;??\ &quot;€&quot;_-;_-@_-"/>
    <numFmt numFmtId="184" formatCode="_(&quot;€&quot;* #,##0.00_);_(&quot;€&quot;* \(#,##0.00\);_(&quot;€&quot;* &quot;-&quot;??_);_(@_)"/>
    <numFmt numFmtId="185" formatCode="_-* #,##0.000\ _€_-;\-* #,##0.000\ _€_-;_-* &quot;-&quot;??\ _€_-;_-@_-"/>
  </numFmts>
  <fonts count="7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font>
    <font>
      <sz val="10"/>
      <color indexed="8"/>
      <name val="Bookman Old Style"/>
      <family val="1"/>
      <charset val="238"/>
    </font>
    <font>
      <b/>
      <sz val="10"/>
      <color indexed="8"/>
      <name val="Bookman Old Style"/>
      <family val="1"/>
      <charset val="238"/>
    </font>
    <font>
      <sz val="10"/>
      <name val="Arial"/>
      <family val="2"/>
      <charset val="238"/>
    </font>
    <font>
      <sz val="10"/>
      <name val="Bookman Old Style"/>
      <family val="1"/>
      <charset val="238"/>
    </font>
    <font>
      <b/>
      <sz val="10"/>
      <name val="Bookman Old Style"/>
      <family val="1"/>
      <charset val="238"/>
    </font>
    <font>
      <sz val="10"/>
      <color rgb="FFFF0000"/>
      <name val="Bookman Old Style"/>
      <family val="1"/>
      <charset val="238"/>
    </font>
    <font>
      <sz val="11"/>
      <color indexed="8"/>
      <name val="Calibri"/>
      <family val="2"/>
      <charset val="238"/>
    </font>
    <font>
      <b/>
      <sz val="10"/>
      <color rgb="FFFF0000"/>
      <name val="Bookman Old Style"/>
      <family val="1"/>
      <charset val="238"/>
    </font>
    <font>
      <b/>
      <sz val="11"/>
      <name val="Bookman Old Style"/>
      <family val="1"/>
      <charset val="238"/>
    </font>
    <font>
      <b/>
      <sz val="14"/>
      <color indexed="8"/>
      <name val="Bookman Old Style"/>
      <family val="1"/>
      <charset val="238"/>
    </font>
    <font>
      <sz val="10"/>
      <color theme="0"/>
      <name val="Bookman Old Style"/>
      <family val="1"/>
      <charset val="238"/>
    </font>
    <font>
      <sz val="11"/>
      <color indexed="8"/>
      <name val="Bookman Old Style"/>
      <family val="1"/>
      <charset val="238"/>
    </font>
    <font>
      <sz val="8"/>
      <name val="Bookman Old Style"/>
      <family val="1"/>
      <charset val="238"/>
    </font>
    <font>
      <b/>
      <sz val="8"/>
      <name val="Bookman Old Style"/>
      <family val="1"/>
      <charset val="238"/>
    </font>
    <font>
      <sz val="8"/>
      <color rgb="FFFF0000"/>
      <name val="Bookman Old Style"/>
      <family val="1"/>
      <charset val="238"/>
    </font>
    <font>
      <b/>
      <sz val="14"/>
      <color theme="1"/>
      <name val="Bookman Old Style"/>
      <family val="1"/>
      <charset val="238"/>
    </font>
    <font>
      <b/>
      <sz val="16"/>
      <color theme="1"/>
      <name val="Calibri"/>
      <family val="2"/>
      <charset val="238"/>
      <scheme val="minor"/>
    </font>
    <font>
      <b/>
      <sz val="20"/>
      <color theme="1"/>
      <name val="Calibri"/>
      <family val="2"/>
      <charset val="238"/>
      <scheme val="minor"/>
    </font>
    <font>
      <sz val="11"/>
      <color theme="1"/>
      <name val="Calibri"/>
      <family val="2"/>
      <scheme val="minor"/>
    </font>
    <font>
      <b/>
      <sz val="10"/>
      <name val="Arial"/>
      <family val="2"/>
      <charset val="238"/>
    </font>
    <font>
      <b/>
      <sz val="8"/>
      <name val="Arial"/>
      <family val="2"/>
      <charset val="238"/>
    </font>
    <font>
      <sz val="8"/>
      <name val="Arial"/>
      <family val="2"/>
      <charset val="238"/>
    </font>
    <font>
      <sz val="8"/>
      <name val="Arial"/>
      <family val="2"/>
    </font>
    <font>
      <sz val="11"/>
      <color indexed="8"/>
      <name val="Arial"/>
      <family val="2"/>
      <charset val="238"/>
    </font>
    <font>
      <b/>
      <sz val="8"/>
      <color rgb="FFFF0000"/>
      <name val="Arial"/>
      <family val="2"/>
      <charset val="238"/>
    </font>
    <font>
      <b/>
      <sz val="11"/>
      <color rgb="FFFF0000"/>
      <name val="Calibri"/>
      <family val="2"/>
      <charset val="238"/>
      <scheme val="minor"/>
    </font>
    <font>
      <b/>
      <sz val="10"/>
      <color theme="3"/>
      <name val="Bookman Old Style"/>
      <family val="1"/>
      <charset val="238"/>
    </font>
    <font>
      <sz val="10"/>
      <color theme="1"/>
      <name val="Bookman Old Style"/>
      <family val="1"/>
      <charset val="238"/>
    </font>
    <font>
      <b/>
      <sz val="11"/>
      <color theme="1"/>
      <name val="Calibri"/>
      <family val="2"/>
      <charset val="238"/>
      <scheme val="minor"/>
    </font>
    <font>
      <sz val="10"/>
      <name val="Times New Roman"/>
      <family val="1"/>
      <charset val="238"/>
    </font>
    <font>
      <b/>
      <sz val="14"/>
      <color indexed="8"/>
      <name val="Times New Roman"/>
      <family val="1"/>
      <charset val="238"/>
    </font>
    <font>
      <sz val="8"/>
      <color theme="0" tint="-0.14999847407452621"/>
      <name val="Times New Roman"/>
      <family val="1"/>
      <charset val="238"/>
    </font>
    <font>
      <b/>
      <sz val="10"/>
      <name val="Times New Roman"/>
      <family val="1"/>
      <charset val="238"/>
    </font>
    <font>
      <b/>
      <sz val="10"/>
      <color indexed="8"/>
      <name val="Times New Roman"/>
      <family val="1"/>
      <charset val="238"/>
    </font>
    <font>
      <b/>
      <sz val="11"/>
      <name val="Times New Roman"/>
      <family val="1"/>
      <charset val="238"/>
    </font>
    <font>
      <sz val="10"/>
      <color theme="0" tint="-4.9989318521683403E-2"/>
      <name val="Times New Roman"/>
      <family val="1"/>
      <charset val="238"/>
    </font>
    <font>
      <sz val="9"/>
      <name val="Times New Roman"/>
      <family val="1"/>
      <charset val="238"/>
    </font>
    <font>
      <sz val="10"/>
      <color rgb="FFFF0000"/>
      <name val="Times New Roman"/>
      <family val="1"/>
      <charset val="238"/>
    </font>
    <font>
      <b/>
      <sz val="10"/>
      <color rgb="FFFF0000"/>
      <name val="Times New Roman"/>
      <family val="1"/>
      <charset val="238"/>
    </font>
    <font>
      <sz val="10"/>
      <color indexed="8"/>
      <name val="Times New Roman"/>
      <family val="1"/>
      <charset val="238"/>
    </font>
    <font>
      <sz val="10"/>
      <color theme="0" tint="-0.499984740745262"/>
      <name val="Bookman Old Style"/>
      <family val="1"/>
      <charset val="238"/>
    </font>
    <font>
      <b/>
      <sz val="18"/>
      <color theme="1"/>
      <name val="Bookman Old Style"/>
      <family val="1"/>
      <charset val="238"/>
    </font>
    <font>
      <sz val="11"/>
      <color theme="1"/>
      <name val="Bookman Old Style"/>
      <family val="1"/>
      <charset val="238"/>
    </font>
    <font>
      <b/>
      <sz val="11"/>
      <color theme="0"/>
      <name val="Bookman Old Style"/>
      <family val="1"/>
      <charset val="238"/>
    </font>
    <font>
      <b/>
      <vertAlign val="subscript"/>
      <sz val="11"/>
      <color theme="0"/>
      <name val="Bookman Old Style"/>
      <family val="1"/>
      <charset val="238"/>
    </font>
    <font>
      <b/>
      <vertAlign val="superscript"/>
      <sz val="11"/>
      <color theme="0"/>
      <name val="Bookman Old Style"/>
      <family val="1"/>
      <charset val="238"/>
    </font>
    <font>
      <b/>
      <sz val="11"/>
      <color theme="1"/>
      <name val="Bookman Old Style"/>
      <family val="1"/>
      <charset val="238"/>
    </font>
    <font>
      <vertAlign val="subscript"/>
      <sz val="11"/>
      <color theme="1"/>
      <name val="Bookman Old Style"/>
      <family val="1"/>
      <charset val="238"/>
    </font>
    <font>
      <b/>
      <sz val="10"/>
      <color theme="0" tint="-0.34998626667073579"/>
      <name val="Calibri"/>
      <family val="2"/>
      <charset val="238"/>
      <scheme val="minor"/>
    </font>
    <font>
      <sz val="10"/>
      <color theme="0" tint="-0.34998626667073579"/>
      <name val="Calibri"/>
      <family val="2"/>
      <charset val="238"/>
      <scheme val="minor"/>
    </font>
    <font>
      <sz val="10"/>
      <color rgb="FFFF0000"/>
      <name val="Arial"/>
      <family val="2"/>
      <charset val="238"/>
    </font>
    <font>
      <sz val="11"/>
      <color rgb="FFFF0000"/>
      <name val="Calibri"/>
      <family val="2"/>
      <scheme val="minor"/>
    </font>
    <font>
      <sz val="10"/>
      <color theme="1"/>
      <name val="Calibri"/>
      <family val="2"/>
      <scheme val="minor"/>
    </font>
    <font>
      <sz val="11"/>
      <color theme="1"/>
      <name val="Times New Roman"/>
      <family val="1"/>
      <charset val="238"/>
    </font>
    <font>
      <b/>
      <sz val="11"/>
      <color indexed="8"/>
      <name val="Bookman Old Style"/>
      <family val="1"/>
      <charset val="238"/>
    </font>
    <font>
      <sz val="11"/>
      <name val="Bookman Old Style"/>
      <family val="1"/>
      <charset val="238"/>
    </font>
    <font>
      <sz val="11"/>
      <color indexed="8"/>
      <name val="Times New Roman"/>
      <family val="1"/>
      <charset val="238"/>
    </font>
    <font>
      <b/>
      <sz val="14"/>
      <color theme="1"/>
      <name val="Calibri"/>
      <family val="2"/>
      <charset val="238"/>
      <scheme val="minor"/>
    </font>
    <font>
      <sz val="8"/>
      <name val="Calibri"/>
      <family val="2"/>
      <scheme val="minor"/>
    </font>
    <font>
      <b/>
      <sz val="11"/>
      <color rgb="FFFF0000"/>
      <name val="Bookman Old Style"/>
      <family val="1"/>
      <charset val="238"/>
    </font>
    <font>
      <i/>
      <sz val="10"/>
      <color theme="1"/>
      <name val="Calibri"/>
      <family val="2"/>
      <scheme val="minor"/>
    </font>
    <font>
      <sz val="11"/>
      <color theme="1"/>
      <name val="Bookman Old Style"/>
      <family val="1"/>
      <charset val="238"/>
    </font>
    <font>
      <sz val="10"/>
      <color theme="1"/>
      <name val="Calibri"/>
      <family val="2"/>
      <charset val="238"/>
      <scheme val="minor"/>
    </font>
    <font>
      <sz val="8"/>
      <color theme="1"/>
      <name val="Arial"/>
      <family val="2"/>
      <charset val="238"/>
    </font>
  </fonts>
  <fills count="2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C0C0C0"/>
        <bgColor rgb="FF000000"/>
      </patternFill>
    </fill>
    <fill>
      <patternFill patternType="solid">
        <fgColor rgb="FFFFFF00"/>
        <bgColor indexed="64"/>
      </patternFill>
    </fill>
    <fill>
      <patternFill patternType="solid">
        <fgColor indexed="26"/>
        <bgColor indexed="64"/>
      </patternFill>
    </fill>
    <fill>
      <patternFill patternType="solid">
        <fgColor theme="0"/>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8D8D8"/>
        <bgColor rgb="FF000000"/>
      </patternFill>
    </fill>
    <fill>
      <patternFill patternType="solid">
        <fgColor rgb="FF00B0F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6"/>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6" tint="0.59999389629810485"/>
        <bgColor rgb="FF000000"/>
      </patternFill>
    </fill>
    <fill>
      <patternFill patternType="solid">
        <fgColor theme="9" tint="0.59999389629810485"/>
        <bgColor rgb="FF000000"/>
      </patternFill>
    </fill>
    <fill>
      <patternFill patternType="solid">
        <fgColor rgb="FF92D05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1"/>
        <bgColor theme="1"/>
      </patternFill>
    </fill>
    <fill>
      <patternFill patternType="solid">
        <fgColor theme="0" tint="-0.14999847407452621"/>
        <bgColor theme="0" tint="-0.14999847407452621"/>
      </patternFill>
    </fill>
  </fills>
  <borders count="97">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style="medium">
        <color auto="1"/>
      </right>
      <top/>
      <bottom style="double">
        <color auto="1"/>
      </bottom>
      <diagonal/>
    </border>
    <border>
      <left style="medium">
        <color auto="1"/>
      </left>
      <right style="thin">
        <color auto="1"/>
      </right>
      <top/>
      <bottom style="double">
        <color auto="1"/>
      </bottom>
      <diagonal/>
    </border>
    <border>
      <left/>
      <right style="medium">
        <color auto="1"/>
      </right>
      <top/>
      <bottom style="double">
        <color auto="1"/>
      </bottom>
      <diagonal/>
    </border>
    <border>
      <left style="thin">
        <color auto="1"/>
      </left>
      <right style="thin">
        <color auto="1"/>
      </right>
      <top style="double">
        <color auto="1"/>
      </top>
      <bottom style="double">
        <color auto="1"/>
      </bottom>
      <diagonal/>
    </border>
    <border>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thin">
        <color auto="1"/>
      </right>
      <top style="double">
        <color auto="1"/>
      </top>
      <bottom style="double">
        <color auto="1"/>
      </bottom>
      <diagonal/>
    </border>
    <border>
      <left/>
      <right style="medium">
        <color auto="1"/>
      </right>
      <top style="double">
        <color auto="1"/>
      </top>
      <bottom style="double">
        <color auto="1"/>
      </bottom>
      <diagonal/>
    </border>
    <border>
      <left/>
      <right/>
      <top/>
      <bottom style="medium">
        <color auto="1"/>
      </bottom>
      <diagonal/>
    </border>
    <border>
      <left/>
      <right style="thin">
        <color auto="1"/>
      </right>
      <top style="medium">
        <color auto="1"/>
      </top>
      <bottom style="thin">
        <color auto="1"/>
      </bottom>
      <diagonal/>
    </border>
    <border>
      <left/>
      <right/>
      <top/>
      <bottom style="double">
        <color auto="1"/>
      </bottom>
      <diagonal/>
    </border>
    <border>
      <left style="medium">
        <color auto="1"/>
      </left>
      <right/>
      <top/>
      <bottom style="double">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auto="1"/>
      </left>
      <right style="medium">
        <color auto="1"/>
      </right>
      <top/>
      <bottom style="medium">
        <color auto="1"/>
      </bottom>
      <diagonal/>
    </border>
  </borders>
  <cellStyleXfs count="24">
    <xf numFmtId="0" fontId="0" fillId="0" borderId="0"/>
    <xf numFmtId="0" fontId="5" fillId="0" borderId="0"/>
    <xf numFmtId="0" fontId="8" fillId="0" borderId="0"/>
    <xf numFmtId="44" fontId="8" fillId="0" borderId="0" applyFont="0" applyFill="0" applyBorder="0" applyAlignment="0" applyProtection="0"/>
    <xf numFmtId="9" fontId="12"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8" fillId="0" borderId="0"/>
    <xf numFmtId="164" fontId="24" fillId="0" borderId="0" applyFont="0" applyFill="0" applyBorder="0" applyAlignment="0" applyProtection="0"/>
    <xf numFmtId="44" fontId="24" fillId="0" borderId="0" applyFont="0" applyFill="0" applyBorder="0" applyAlignment="0" applyProtection="0"/>
    <xf numFmtId="0" fontId="8" fillId="0" borderId="0"/>
    <xf numFmtId="4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0" fontId="24" fillId="0" borderId="0"/>
    <xf numFmtId="9" fontId="24" fillId="0" borderId="0" applyFont="0" applyFill="0" applyBorder="0" applyAlignment="0" applyProtection="0"/>
    <xf numFmtId="0" fontId="8" fillId="0" borderId="0"/>
    <xf numFmtId="164" fontId="8" fillId="0" borderId="0" applyFont="0" applyFill="0" applyBorder="0" applyAlignment="0" applyProtection="0"/>
    <xf numFmtId="184" fontId="8" fillId="0" borderId="0" applyFont="0" applyFill="0" applyBorder="0" applyAlignment="0" applyProtection="0"/>
  </cellStyleXfs>
  <cellXfs count="664">
    <xf numFmtId="0" fontId="0" fillId="0" borderId="0" xfId="0"/>
    <xf numFmtId="0" fontId="9" fillId="0" borderId="0" xfId="2" applyFont="1" applyProtection="1">
      <protection hidden="1"/>
    </xf>
    <xf numFmtId="9" fontId="9" fillId="2" borderId="1" xfId="2" applyNumberFormat="1" applyFont="1" applyFill="1" applyBorder="1" applyAlignment="1" applyProtection="1">
      <alignment horizontal="center"/>
      <protection hidden="1"/>
    </xf>
    <xf numFmtId="0" fontId="9" fillId="2" borderId="1" xfId="2" applyFont="1" applyFill="1" applyBorder="1" applyAlignment="1" applyProtection="1">
      <alignment horizontal="center"/>
      <protection hidden="1"/>
    </xf>
    <xf numFmtId="44" fontId="10" fillId="2" borderId="1" xfId="3" applyFont="1" applyFill="1" applyBorder="1" applyProtection="1">
      <protection hidden="1"/>
    </xf>
    <xf numFmtId="44" fontId="6" fillId="0" borderId="1" xfId="3" applyFont="1" applyBorder="1" applyProtection="1">
      <protection hidden="1"/>
    </xf>
    <xf numFmtId="165" fontId="6" fillId="0" borderId="1" xfId="3" applyNumberFormat="1" applyFont="1" applyBorder="1" applyProtection="1">
      <protection hidden="1"/>
    </xf>
    <xf numFmtId="0" fontId="9" fillId="0" borderId="1" xfId="2" applyFont="1" applyBorder="1" applyAlignment="1" applyProtection="1">
      <alignment horizontal="center"/>
      <protection hidden="1"/>
    </xf>
    <xf numFmtId="0" fontId="11" fillId="0" borderId="0" xfId="2" applyFont="1" applyProtection="1">
      <protection hidden="1"/>
    </xf>
    <xf numFmtId="44" fontId="9" fillId="0" borderId="1" xfId="3" applyFont="1" applyBorder="1" applyAlignment="1" applyProtection="1">
      <alignment horizontal="right"/>
      <protection hidden="1"/>
    </xf>
    <xf numFmtId="9" fontId="9" fillId="0" borderId="1" xfId="4" applyFont="1" applyBorder="1" applyAlignment="1" applyProtection="1">
      <alignment horizontal="right"/>
      <protection hidden="1"/>
    </xf>
    <xf numFmtId="3" fontId="9" fillId="0" borderId="1" xfId="2" applyNumberFormat="1" applyFont="1" applyBorder="1" applyAlignment="1" applyProtection="1">
      <alignment horizontal="right"/>
      <protection hidden="1"/>
    </xf>
    <xf numFmtId="3" fontId="13" fillId="3" borderId="1" xfId="2" applyNumberFormat="1" applyFont="1" applyFill="1" applyBorder="1" applyAlignment="1" applyProtection="1">
      <alignment horizontal="right"/>
      <protection locked="0"/>
    </xf>
    <xf numFmtId="10" fontId="9" fillId="0" borderId="1" xfId="3" applyNumberFormat="1" applyFont="1" applyBorder="1" applyAlignment="1" applyProtection="1">
      <alignment horizontal="right"/>
      <protection hidden="1"/>
    </xf>
    <xf numFmtId="165" fontId="9" fillId="0" borderId="1" xfId="4" applyNumberFormat="1" applyFont="1" applyBorder="1" applyAlignment="1" applyProtection="1">
      <alignment horizontal="right"/>
      <protection hidden="1"/>
    </xf>
    <xf numFmtId="3" fontId="9" fillId="0" borderId="0" xfId="2" applyNumberFormat="1" applyFont="1" applyProtection="1">
      <protection hidden="1"/>
    </xf>
    <xf numFmtId="165" fontId="9" fillId="0" borderId="1" xfId="2" applyNumberFormat="1" applyFont="1" applyBorder="1" applyAlignment="1" applyProtection="1">
      <alignment horizontal="right"/>
      <protection hidden="1"/>
    </xf>
    <xf numFmtId="44" fontId="11" fillId="0" borderId="0" xfId="3" applyFont="1" applyAlignment="1" applyProtection="1">
      <alignment horizontal="left"/>
      <protection hidden="1"/>
    </xf>
    <xf numFmtId="0" fontId="9" fillId="0" borderId="0" xfId="2" applyFont="1" applyAlignment="1" applyProtection="1">
      <alignment horizontal="left"/>
      <protection hidden="1"/>
    </xf>
    <xf numFmtId="167" fontId="9" fillId="0" borderId="1" xfId="3" applyNumberFormat="1" applyFont="1" applyBorder="1" applyAlignment="1" applyProtection="1">
      <alignment horizontal="right"/>
      <protection hidden="1"/>
    </xf>
    <xf numFmtId="167" fontId="13" fillId="3" borderId="1" xfId="3" applyNumberFormat="1" applyFont="1" applyFill="1" applyBorder="1" applyAlignment="1" applyProtection="1">
      <alignment horizontal="left"/>
      <protection locked="0"/>
    </xf>
    <xf numFmtId="165" fontId="9" fillId="0" borderId="0" xfId="2" applyNumberFormat="1" applyFont="1" applyProtection="1">
      <protection hidden="1"/>
    </xf>
    <xf numFmtId="165" fontId="9" fillId="0" borderId="1" xfId="3" applyNumberFormat="1" applyFont="1" applyBorder="1" applyAlignment="1" applyProtection="1">
      <alignment horizontal="center"/>
      <protection hidden="1"/>
    </xf>
    <xf numFmtId="0" fontId="9" fillId="2" borderId="1" xfId="2" applyFont="1" applyFill="1" applyBorder="1" applyProtection="1">
      <protection hidden="1"/>
    </xf>
    <xf numFmtId="168" fontId="9" fillId="0" borderId="0" xfId="2" applyNumberFormat="1" applyFont="1" applyProtection="1">
      <protection hidden="1"/>
    </xf>
    <xf numFmtId="0" fontId="9" fillId="2" borderId="5" xfId="2" applyFont="1" applyFill="1" applyBorder="1" applyProtection="1">
      <protection hidden="1"/>
    </xf>
    <xf numFmtId="0" fontId="9" fillId="7" borderId="0" xfId="2" applyFont="1" applyFill="1" applyProtection="1">
      <protection hidden="1"/>
    </xf>
    <xf numFmtId="0" fontId="16" fillId="7" borderId="0" xfId="2" applyFont="1" applyFill="1" applyProtection="1">
      <protection hidden="1"/>
    </xf>
    <xf numFmtId="0" fontId="9" fillId="7" borderId="0" xfId="2" applyFont="1" applyFill="1" applyAlignment="1" applyProtection="1">
      <alignment horizontal="center"/>
      <protection hidden="1"/>
    </xf>
    <xf numFmtId="44" fontId="10" fillId="8" borderId="1" xfId="3" applyFont="1" applyFill="1" applyBorder="1" applyProtection="1">
      <protection hidden="1"/>
    </xf>
    <xf numFmtId="9" fontId="10" fillId="8" borderId="1" xfId="4" applyFont="1" applyFill="1" applyBorder="1" applyProtection="1">
      <protection hidden="1"/>
    </xf>
    <xf numFmtId="3" fontId="10" fillId="8" borderId="1" xfId="2" applyNumberFormat="1" applyFont="1" applyFill="1" applyBorder="1" applyProtection="1">
      <protection hidden="1"/>
    </xf>
    <xf numFmtId="10" fontId="10" fillId="8" borderId="1" xfId="3" applyNumberFormat="1" applyFont="1" applyFill="1" applyBorder="1" applyProtection="1">
      <protection hidden="1"/>
    </xf>
    <xf numFmtId="44" fontId="9" fillId="0" borderId="1" xfId="2" applyNumberFormat="1" applyFont="1" applyBorder="1" applyProtection="1">
      <protection hidden="1"/>
    </xf>
    <xf numFmtId="10" fontId="9" fillId="0" borderId="1" xfId="2" applyNumberFormat="1" applyFont="1" applyBorder="1" applyProtection="1">
      <protection hidden="1"/>
    </xf>
    <xf numFmtId="3" fontId="9" fillId="0" borderId="1" xfId="2" applyNumberFormat="1" applyFont="1" applyBorder="1" applyProtection="1">
      <protection hidden="1"/>
    </xf>
    <xf numFmtId="10" fontId="17" fillId="0" borderId="1" xfId="3" applyNumberFormat="1" applyFont="1" applyBorder="1" applyProtection="1">
      <protection hidden="1"/>
    </xf>
    <xf numFmtId="0" fontId="18" fillId="2" borderId="1" xfId="2" applyFont="1" applyFill="1" applyBorder="1" applyAlignment="1" applyProtection="1">
      <alignment horizontal="center"/>
      <protection hidden="1"/>
    </xf>
    <xf numFmtId="0" fontId="9" fillId="7" borderId="0" xfId="2" applyFont="1" applyFill="1" applyAlignment="1" applyProtection="1">
      <alignment wrapText="1"/>
      <protection hidden="1"/>
    </xf>
    <xf numFmtId="0" fontId="16" fillId="7" borderId="0" xfId="2" applyFont="1" applyFill="1" applyAlignment="1" applyProtection="1">
      <alignment wrapText="1"/>
      <protection hidden="1"/>
    </xf>
    <xf numFmtId="0" fontId="19" fillId="8" borderId="1" xfId="2" applyFont="1" applyFill="1" applyBorder="1" applyAlignment="1" applyProtection="1">
      <alignment horizontal="center" vertical="center" wrapText="1"/>
      <protection hidden="1"/>
    </xf>
    <xf numFmtId="0" fontId="19" fillId="2" borderId="5" xfId="2" applyFont="1" applyFill="1" applyBorder="1" applyAlignment="1" applyProtection="1">
      <alignment horizontal="center" vertical="center" wrapText="1"/>
      <protection hidden="1"/>
    </xf>
    <xf numFmtId="0" fontId="19" fillId="2" borderId="1" xfId="2" applyFont="1" applyFill="1" applyBorder="1" applyAlignment="1" applyProtection="1">
      <alignment horizontal="center" vertical="center" wrapText="1"/>
      <protection hidden="1"/>
    </xf>
    <xf numFmtId="0" fontId="16" fillId="7" borderId="0" xfId="2" applyFont="1" applyFill="1" applyAlignment="1" applyProtection="1">
      <alignment horizontal="center"/>
      <protection hidden="1"/>
    </xf>
    <xf numFmtId="0" fontId="25" fillId="2" borderId="1" xfId="2" applyFont="1" applyFill="1" applyBorder="1" applyAlignment="1">
      <alignment horizontal="center" vertical="center"/>
    </xf>
    <xf numFmtId="0" fontId="26" fillId="2" borderId="1" xfId="2" applyFont="1" applyFill="1" applyBorder="1" applyAlignment="1">
      <alignment horizontal="center" vertical="center" wrapText="1"/>
    </xf>
    <xf numFmtId="0" fontId="27" fillId="19" borderId="1" xfId="2" applyFont="1" applyFill="1" applyBorder="1" applyAlignment="1">
      <alignment horizontal="center" vertical="center"/>
    </xf>
    <xf numFmtId="0" fontId="28" fillId="19" borderId="1" xfId="2" applyFont="1" applyFill="1" applyBorder="1"/>
    <xf numFmtId="0" fontId="28" fillId="19" borderId="1" xfId="2" applyFont="1" applyFill="1" applyBorder="1" applyAlignment="1">
      <alignment horizontal="left"/>
    </xf>
    <xf numFmtId="164" fontId="28" fillId="19" borderId="1" xfId="9" applyFont="1" applyFill="1" applyBorder="1" applyAlignment="1">
      <alignment horizontal="center" vertical="center"/>
    </xf>
    <xf numFmtId="0" fontId="28" fillId="19" borderId="1" xfId="9" applyNumberFormat="1" applyFont="1" applyFill="1" applyBorder="1" applyAlignment="1">
      <alignment horizontal="center" vertical="center"/>
    </xf>
    <xf numFmtId="164" fontId="28" fillId="17" borderId="1" xfId="9" applyFont="1" applyFill="1" applyBorder="1" applyAlignment="1">
      <alignment horizontal="center" vertical="center"/>
    </xf>
    <xf numFmtId="164" fontId="27" fillId="17" borderId="1" xfId="9" applyFont="1" applyFill="1" applyBorder="1" applyAlignment="1">
      <alignment horizontal="center" vertical="center"/>
    </xf>
    <xf numFmtId="170" fontId="28" fillId="19" borderId="1" xfId="9" applyNumberFormat="1" applyFont="1" applyFill="1" applyBorder="1" applyAlignment="1">
      <alignment horizontal="center" vertical="center"/>
    </xf>
    <xf numFmtId="170" fontId="28" fillId="17" borderId="1" xfId="9" applyNumberFormat="1" applyFont="1" applyFill="1" applyBorder="1" applyAlignment="1">
      <alignment horizontal="center" vertical="center"/>
    </xf>
    <xf numFmtId="44" fontId="26" fillId="18" borderId="1" xfId="10" applyFont="1" applyFill="1" applyBorder="1" applyAlignment="1">
      <alignment horizontal="center" vertical="center"/>
    </xf>
    <xf numFmtId="0" fontId="10" fillId="2" borderId="1" xfId="2" applyFont="1" applyFill="1" applyBorder="1" applyAlignment="1" applyProtection="1">
      <alignment horizontal="center"/>
      <protection hidden="1"/>
    </xf>
    <xf numFmtId="0" fontId="9" fillId="2" borderId="1" xfId="2" applyFont="1" applyFill="1" applyBorder="1" applyAlignment="1" applyProtection="1">
      <alignment wrapText="1"/>
      <protection hidden="1"/>
    </xf>
    <xf numFmtId="166" fontId="13" fillId="0" borderId="1" xfId="2" applyNumberFormat="1" applyFont="1" applyBorder="1" applyAlignment="1" applyProtection="1">
      <alignment horizontal="right"/>
      <protection locked="0"/>
    </xf>
    <xf numFmtId="10" fontId="10" fillId="8" borderId="1" xfId="4" applyNumberFormat="1" applyFont="1" applyFill="1" applyBorder="1" applyProtection="1">
      <protection hidden="1"/>
    </xf>
    <xf numFmtId="171" fontId="9" fillId="0" borderId="1" xfId="2" applyNumberFormat="1" applyFont="1" applyBorder="1" applyAlignment="1" applyProtection="1">
      <alignment horizontal="center"/>
      <protection hidden="1"/>
    </xf>
    <xf numFmtId="172" fontId="9" fillId="0" borderId="1" xfId="2" applyNumberFormat="1" applyFont="1" applyBorder="1" applyAlignment="1" applyProtection="1">
      <alignment horizontal="center"/>
      <protection hidden="1"/>
    </xf>
    <xf numFmtId="165" fontId="10" fillId="0" borderId="46" xfId="3" applyNumberFormat="1" applyFont="1" applyBorder="1" applyAlignment="1" applyProtection="1">
      <alignment horizontal="right"/>
      <protection hidden="1"/>
    </xf>
    <xf numFmtId="44" fontId="10" fillId="0" borderId="47" xfId="3" applyFont="1" applyBorder="1" applyAlignment="1" applyProtection="1">
      <alignment horizontal="center"/>
      <protection hidden="1"/>
    </xf>
    <xf numFmtId="164" fontId="28" fillId="19" borderId="1" xfId="9" applyFont="1" applyFill="1" applyBorder="1" applyAlignment="1">
      <alignment vertical="center" wrapText="1"/>
    </xf>
    <xf numFmtId="0" fontId="28" fillId="19" borderId="1" xfId="9" applyNumberFormat="1" applyFont="1" applyFill="1" applyBorder="1" applyAlignment="1">
      <alignment horizontal="center" vertical="center" wrapText="1"/>
    </xf>
    <xf numFmtId="44" fontId="30" fillId="18" borderId="1" xfId="10" applyFont="1" applyFill="1" applyBorder="1" applyAlignment="1">
      <alignment horizontal="center" vertical="center"/>
    </xf>
    <xf numFmtId="0" fontId="31" fillId="0" borderId="0" xfId="0" applyFont="1"/>
    <xf numFmtId="0" fontId="35" fillId="2" borderId="48" xfId="2" applyFont="1" applyFill="1" applyBorder="1" applyAlignment="1" applyProtection="1">
      <alignment wrapText="1" shrinkToFit="1"/>
      <protection hidden="1"/>
    </xf>
    <xf numFmtId="0" fontId="35" fillId="2" borderId="49" xfId="2" applyFont="1" applyFill="1" applyBorder="1" applyAlignment="1" applyProtection="1">
      <alignment wrapText="1" shrinkToFit="1"/>
      <protection hidden="1"/>
    </xf>
    <xf numFmtId="0" fontId="35" fillId="19" borderId="44" xfId="2" applyFont="1" applyFill="1" applyBorder="1" applyAlignment="1" applyProtection="1">
      <alignment horizontal="center" wrapText="1" shrinkToFit="1"/>
      <protection hidden="1"/>
    </xf>
    <xf numFmtId="0" fontId="35" fillId="2" borderId="49" xfId="2" quotePrefix="1" applyFont="1" applyFill="1" applyBorder="1" applyAlignment="1" applyProtection="1">
      <alignment shrinkToFit="1"/>
      <protection hidden="1"/>
    </xf>
    <xf numFmtId="0" fontId="35" fillId="2" borderId="49" xfId="2" applyFont="1" applyFill="1" applyBorder="1" applyAlignment="1" applyProtection="1">
      <alignment shrinkToFit="1"/>
      <protection hidden="1"/>
    </xf>
    <xf numFmtId="0" fontId="35" fillId="2" borderId="50" xfId="2" applyFont="1" applyFill="1" applyBorder="1" applyAlignment="1" applyProtection="1">
      <alignment shrinkToFit="1"/>
      <protection hidden="1"/>
    </xf>
    <xf numFmtId="0" fontId="35" fillId="0" borderId="0" xfId="2" applyFont="1" applyProtection="1">
      <protection hidden="1"/>
    </xf>
    <xf numFmtId="0" fontId="37" fillId="0" borderId="0" xfId="2" applyFont="1" applyAlignment="1" applyProtection="1">
      <alignment horizontal="right"/>
      <protection hidden="1"/>
    </xf>
    <xf numFmtId="0" fontId="38" fillId="0" borderId="0" xfId="2" applyFont="1" applyProtection="1">
      <protection hidden="1"/>
    </xf>
    <xf numFmtId="0" fontId="35" fillId="2" borderId="49" xfId="2" applyFont="1" applyFill="1" applyBorder="1" applyProtection="1">
      <protection hidden="1"/>
    </xf>
    <xf numFmtId="3" fontId="35" fillId="0" borderId="0" xfId="2" applyNumberFormat="1" applyFont="1" applyProtection="1">
      <protection hidden="1"/>
    </xf>
    <xf numFmtId="0" fontId="35" fillId="2" borderId="50" xfId="2" applyFont="1" applyFill="1" applyBorder="1" applyProtection="1">
      <protection hidden="1"/>
    </xf>
    <xf numFmtId="0" fontId="35" fillId="2" borderId="53" xfId="2" applyFont="1" applyFill="1" applyBorder="1" applyProtection="1">
      <protection hidden="1"/>
    </xf>
    <xf numFmtId="0" fontId="35" fillId="19" borderId="54" xfId="2" applyFont="1" applyFill="1" applyBorder="1" applyAlignment="1" applyProtection="1">
      <alignment horizontal="center" wrapText="1" shrinkToFit="1"/>
      <protection hidden="1"/>
    </xf>
    <xf numFmtId="173" fontId="35" fillId="0" borderId="55" xfId="2" applyNumberFormat="1" applyFont="1" applyBorder="1" applyAlignment="1" applyProtection="1">
      <alignment horizontal="right"/>
      <protection hidden="1"/>
    </xf>
    <xf numFmtId="165" fontId="35" fillId="0" borderId="0" xfId="2" applyNumberFormat="1" applyFont="1" applyProtection="1">
      <protection hidden="1"/>
    </xf>
    <xf numFmtId="173" fontId="35" fillId="0" borderId="56" xfId="2" applyNumberFormat="1" applyFont="1" applyBorder="1" applyAlignment="1" applyProtection="1">
      <alignment horizontal="right"/>
      <protection hidden="1"/>
    </xf>
    <xf numFmtId="173" fontId="35" fillId="0" borderId="57" xfId="2" applyNumberFormat="1" applyFont="1" applyBorder="1" applyAlignment="1" applyProtection="1">
      <alignment horizontal="right"/>
      <protection hidden="1"/>
    </xf>
    <xf numFmtId="44" fontId="35" fillId="0" borderId="57" xfId="12" applyFont="1" applyBorder="1" applyAlignment="1" applyProtection="1">
      <alignment horizontal="right"/>
      <protection hidden="1"/>
    </xf>
    <xf numFmtId="174" fontId="35" fillId="0" borderId="28" xfId="12" applyNumberFormat="1" applyFont="1" applyBorder="1" applyAlignment="1" applyProtection="1">
      <alignment horizontal="right"/>
      <protection hidden="1"/>
    </xf>
    <xf numFmtId="44" fontId="35" fillId="0" borderId="56" xfId="10" applyFont="1" applyBorder="1" applyAlignment="1" applyProtection="1">
      <alignment horizontal="right"/>
      <protection hidden="1"/>
    </xf>
    <xf numFmtId="0" fontId="41" fillId="0" borderId="0" xfId="2" applyFont="1" applyAlignment="1" applyProtection="1">
      <alignment horizontal="center"/>
      <protection hidden="1"/>
    </xf>
    <xf numFmtId="0" fontId="43" fillId="0" borderId="0" xfId="2" applyFont="1" applyProtection="1">
      <protection hidden="1"/>
    </xf>
    <xf numFmtId="0" fontId="35" fillId="0" borderId="0" xfId="2" applyFont="1" applyAlignment="1" applyProtection="1">
      <alignment horizontal="left"/>
      <protection hidden="1"/>
    </xf>
    <xf numFmtId="44" fontId="43" fillId="0" borderId="0" xfId="3" applyFont="1" applyAlignment="1" applyProtection="1">
      <alignment horizontal="left"/>
      <protection hidden="1"/>
    </xf>
    <xf numFmtId="5" fontId="35" fillId="0" borderId="0" xfId="2" applyNumberFormat="1" applyFont="1" applyProtection="1">
      <protection hidden="1"/>
    </xf>
    <xf numFmtId="0" fontId="35" fillId="0" borderId="61" xfId="2" applyFont="1" applyBorder="1" applyProtection="1">
      <protection hidden="1"/>
    </xf>
    <xf numFmtId="0" fontId="43" fillId="0" borderId="60" xfId="2" applyFont="1" applyBorder="1" applyProtection="1">
      <protection hidden="1"/>
    </xf>
    <xf numFmtId="173" fontId="44" fillId="5" borderId="24" xfId="2" applyNumberFormat="1" applyFont="1" applyFill="1" applyBorder="1" applyAlignment="1" applyProtection="1">
      <alignment horizontal="right"/>
      <protection hidden="1"/>
    </xf>
    <xf numFmtId="165" fontId="44" fillId="5" borderId="24" xfId="2" applyNumberFormat="1" applyFont="1" applyFill="1" applyBorder="1" applyAlignment="1" applyProtection="1">
      <alignment horizontal="right"/>
      <protection hidden="1"/>
    </xf>
    <xf numFmtId="165" fontId="38" fillId="0" borderId="3" xfId="3" applyNumberFormat="1" applyFont="1" applyBorder="1" applyAlignment="1" applyProtection="1">
      <alignment horizontal="right"/>
      <protection hidden="1"/>
    </xf>
    <xf numFmtId="44" fontId="38" fillId="0" borderId="2" xfId="3" applyFont="1" applyBorder="1" applyAlignment="1" applyProtection="1">
      <alignment horizontal="center"/>
      <protection hidden="1"/>
    </xf>
    <xf numFmtId="0" fontId="38" fillId="2" borderId="1" xfId="2" applyFont="1" applyFill="1" applyBorder="1" applyAlignment="1" applyProtection="1">
      <alignment horizontal="center"/>
      <protection hidden="1"/>
    </xf>
    <xf numFmtId="0" fontId="35" fillId="0" borderId="1" xfId="2" applyFont="1" applyBorder="1" applyAlignment="1" applyProtection="1">
      <alignment horizontal="center"/>
      <protection hidden="1"/>
    </xf>
    <xf numFmtId="165" fontId="45" fillId="0" borderId="1" xfId="3" applyNumberFormat="1" applyFont="1" applyBorder="1" applyProtection="1">
      <protection hidden="1"/>
    </xf>
    <xf numFmtId="44" fontId="45" fillId="0" borderId="1" xfId="3" applyFont="1" applyBorder="1" applyProtection="1">
      <protection hidden="1"/>
    </xf>
    <xf numFmtId="44" fontId="38" fillId="2" borderId="1" xfId="3" applyFont="1" applyFill="1" applyBorder="1" applyProtection="1">
      <protection hidden="1"/>
    </xf>
    <xf numFmtId="0" fontId="35" fillId="2" borderId="1" xfId="2" applyFont="1" applyFill="1" applyBorder="1" applyAlignment="1" applyProtection="1">
      <alignment horizontal="center"/>
      <protection hidden="1"/>
    </xf>
    <xf numFmtId="9" fontId="35" fillId="2" borderId="1" xfId="2" applyNumberFormat="1" applyFont="1" applyFill="1" applyBorder="1" applyAlignment="1" applyProtection="1">
      <alignment horizontal="center"/>
      <protection hidden="1"/>
    </xf>
    <xf numFmtId="0" fontId="38" fillId="19" borderId="1" xfId="2" applyFont="1" applyFill="1" applyBorder="1" applyProtection="1">
      <protection hidden="1"/>
    </xf>
    <xf numFmtId="0" fontId="38" fillId="19" borderId="1" xfId="2" applyFont="1" applyFill="1" applyBorder="1" applyAlignment="1" applyProtection="1">
      <alignment horizontal="center" wrapText="1"/>
      <protection hidden="1"/>
    </xf>
    <xf numFmtId="170" fontId="35" fillId="5" borderId="1" xfId="14" applyNumberFormat="1" applyFont="1" applyFill="1" applyBorder="1" applyProtection="1">
      <protection hidden="1"/>
    </xf>
    <xf numFmtId="170" fontId="35" fillId="0" borderId="0" xfId="2" applyNumberFormat="1" applyFont="1" applyProtection="1">
      <protection hidden="1"/>
    </xf>
    <xf numFmtId="0" fontId="21" fillId="7" borderId="0" xfId="15" applyFont="1" applyFill="1" applyAlignment="1" applyProtection="1">
      <alignment vertical="center"/>
      <protection hidden="1"/>
    </xf>
    <xf numFmtId="0" fontId="9" fillId="7" borderId="0" xfId="15" applyFont="1" applyFill="1" applyAlignment="1" applyProtection="1">
      <alignment vertical="center"/>
      <protection hidden="1"/>
    </xf>
    <xf numFmtId="0" fontId="9" fillId="0" borderId="0" xfId="15" applyFont="1" applyAlignment="1" applyProtection="1">
      <alignment vertical="center"/>
      <protection hidden="1"/>
    </xf>
    <xf numFmtId="0" fontId="21" fillId="0" borderId="0" xfId="15" applyFont="1" applyAlignment="1" applyProtection="1">
      <alignment vertical="center"/>
      <protection hidden="1"/>
    </xf>
    <xf numFmtId="0" fontId="21" fillId="14" borderId="62" xfId="15" applyFont="1" applyFill="1" applyBorder="1" applyAlignment="1" applyProtection="1">
      <alignment vertical="center"/>
      <protection hidden="1"/>
    </xf>
    <xf numFmtId="0" fontId="21" fillId="14" borderId="65" xfId="15" applyFont="1" applyFill="1" applyBorder="1" applyAlignment="1" applyProtection="1">
      <alignment vertical="center"/>
      <protection hidden="1"/>
    </xf>
    <xf numFmtId="0" fontId="21" fillId="14" borderId="46" xfId="15" applyFont="1" applyFill="1" applyBorder="1" applyAlignment="1" applyProtection="1">
      <alignment vertical="center"/>
      <protection hidden="1"/>
    </xf>
    <xf numFmtId="0" fontId="9" fillId="9" borderId="1" xfId="15" applyFont="1" applyFill="1" applyBorder="1" applyAlignment="1" applyProtection="1">
      <alignment horizontal="center" vertical="center" wrapText="1"/>
      <protection hidden="1"/>
    </xf>
    <xf numFmtId="0" fontId="10" fillId="9" borderId="1" xfId="15" applyFont="1" applyFill="1" applyBorder="1" applyAlignment="1" applyProtection="1">
      <alignment horizontal="center" vertical="center" wrapText="1"/>
      <protection hidden="1"/>
    </xf>
    <xf numFmtId="0" fontId="10" fillId="20" borderId="5" xfId="15" applyFont="1" applyFill="1" applyBorder="1" applyAlignment="1" applyProtection="1">
      <alignment horizontal="center" vertical="center" wrapText="1"/>
      <protection hidden="1"/>
    </xf>
    <xf numFmtId="0" fontId="10" fillId="21" borderId="5" xfId="15" applyFont="1" applyFill="1" applyBorder="1" applyAlignment="1" applyProtection="1">
      <alignment horizontal="center" vertical="center" wrapText="1"/>
      <protection hidden="1"/>
    </xf>
    <xf numFmtId="0" fontId="19" fillId="9" borderId="7" xfId="15" applyFont="1" applyFill="1" applyBorder="1" applyAlignment="1" applyProtection="1">
      <alignment horizontal="center" vertical="center" wrapText="1"/>
      <protection hidden="1"/>
    </xf>
    <xf numFmtId="0" fontId="19" fillId="9" borderId="8" xfId="15" applyFont="1" applyFill="1" applyBorder="1" applyAlignment="1" applyProtection="1">
      <alignment horizontal="center" vertical="center" wrapText="1"/>
      <protection hidden="1"/>
    </xf>
    <xf numFmtId="0" fontId="19" fillId="9" borderId="5" xfId="15" applyFont="1" applyFill="1" applyBorder="1" applyAlignment="1" applyProtection="1">
      <alignment horizontal="center" vertical="center" wrapText="1"/>
      <protection hidden="1"/>
    </xf>
    <xf numFmtId="0" fontId="19" fillId="9" borderId="1" xfId="15" applyFont="1" applyFill="1" applyBorder="1" applyAlignment="1" applyProtection="1">
      <alignment horizontal="center" vertical="center" wrapText="1"/>
      <protection hidden="1"/>
    </xf>
    <xf numFmtId="0" fontId="19" fillId="11" borderId="1" xfId="15" applyFont="1" applyFill="1" applyBorder="1" applyAlignment="1" applyProtection="1">
      <alignment horizontal="center" vertical="center" wrapText="1"/>
      <protection hidden="1"/>
    </xf>
    <xf numFmtId="0" fontId="19" fillId="11" borderId="5" xfId="15" applyFont="1" applyFill="1" applyBorder="1" applyAlignment="1" applyProtection="1">
      <alignment horizontal="center" vertical="center" wrapText="1"/>
      <protection hidden="1"/>
    </xf>
    <xf numFmtId="0" fontId="19" fillId="22" borderId="5" xfId="15" applyFont="1" applyFill="1" applyBorder="1" applyAlignment="1" applyProtection="1">
      <alignment horizontal="center" vertical="center" wrapText="1"/>
      <protection hidden="1"/>
    </xf>
    <xf numFmtId="0" fontId="19" fillId="23" borderId="5" xfId="15" applyFont="1" applyFill="1" applyBorder="1" applyAlignment="1" applyProtection="1">
      <alignment horizontal="center" vertical="center" wrapText="1"/>
      <protection hidden="1"/>
    </xf>
    <xf numFmtId="0" fontId="19" fillId="9" borderId="27" xfId="15" applyFont="1" applyFill="1" applyBorder="1" applyAlignment="1" applyProtection="1">
      <alignment horizontal="center" vertical="center" wrapText="1"/>
      <protection hidden="1"/>
    </xf>
    <xf numFmtId="0" fontId="19" fillId="20" borderId="1" xfId="15" applyFont="1" applyFill="1" applyBorder="1" applyAlignment="1" applyProtection="1">
      <alignment horizontal="center" vertical="center" wrapText="1"/>
      <protection hidden="1"/>
    </xf>
    <xf numFmtId="0" fontId="19" fillId="21" borderId="1" xfId="15" applyFont="1" applyFill="1" applyBorder="1" applyAlignment="1" applyProtection="1">
      <alignment horizontal="center" vertical="center" wrapText="1"/>
      <protection hidden="1"/>
    </xf>
    <xf numFmtId="0" fontId="19" fillId="11" borderId="33" xfId="15" applyFont="1" applyFill="1" applyBorder="1" applyAlignment="1" applyProtection="1">
      <alignment horizontal="center" vertical="center" wrapText="1"/>
      <protection hidden="1"/>
    </xf>
    <xf numFmtId="0" fontId="19" fillId="11" borderId="6" xfId="15" applyFont="1" applyFill="1" applyBorder="1" applyAlignment="1" applyProtection="1">
      <alignment horizontal="center" vertical="center" wrapText="1"/>
      <protection hidden="1"/>
    </xf>
    <xf numFmtId="0" fontId="19" fillId="9" borderId="4" xfId="15" applyFont="1" applyFill="1" applyBorder="1" applyAlignment="1" applyProtection="1">
      <alignment horizontal="center" vertical="center" wrapText="1"/>
      <protection hidden="1"/>
    </xf>
    <xf numFmtId="0" fontId="19" fillId="9" borderId="24" xfId="15" applyFont="1" applyFill="1" applyBorder="1" applyAlignment="1" applyProtection="1">
      <alignment horizontal="center" vertical="center" wrapText="1"/>
      <protection hidden="1"/>
    </xf>
    <xf numFmtId="0" fontId="19" fillId="9" borderId="26" xfId="15" applyFont="1" applyFill="1" applyBorder="1" applyAlignment="1" applyProtection="1">
      <alignment horizontal="center" vertical="center" wrapText="1"/>
      <protection hidden="1"/>
    </xf>
    <xf numFmtId="0" fontId="9" fillId="0" borderId="0" xfId="15" applyFont="1" applyAlignment="1" applyProtection="1">
      <alignment vertical="center" wrapText="1"/>
      <protection hidden="1"/>
    </xf>
    <xf numFmtId="0" fontId="19" fillId="9" borderId="53" xfId="15" applyFont="1" applyFill="1" applyBorder="1" applyAlignment="1" applyProtection="1">
      <alignment horizontal="center" vertical="center" wrapText="1"/>
      <protection hidden="1"/>
    </xf>
    <xf numFmtId="0" fontId="19" fillId="9" borderId="13" xfId="15" applyFont="1" applyFill="1" applyBorder="1" applyAlignment="1" applyProtection="1">
      <alignment horizontal="center" vertical="center" wrapText="1"/>
      <protection hidden="1"/>
    </xf>
    <xf numFmtId="0" fontId="19" fillId="20" borderId="4" xfId="15" applyFont="1" applyFill="1" applyBorder="1" applyAlignment="1" applyProtection="1">
      <alignment horizontal="center" vertical="center" wrapText="1"/>
      <protection hidden="1"/>
    </xf>
    <xf numFmtId="0" fontId="19" fillId="20" borderId="5" xfId="15" applyFont="1" applyFill="1" applyBorder="1" applyAlignment="1" applyProtection="1">
      <alignment horizontal="center" vertical="center" wrapText="1"/>
      <protection hidden="1"/>
    </xf>
    <xf numFmtId="0" fontId="19" fillId="9" borderId="33" xfId="15" applyFont="1" applyFill="1" applyBorder="1" applyAlignment="1" applyProtection="1">
      <alignment horizontal="center" vertical="center" wrapText="1"/>
      <protection hidden="1"/>
    </xf>
    <xf numFmtId="0" fontId="11" fillId="10" borderId="1" xfId="15" applyFont="1" applyFill="1" applyBorder="1" applyAlignment="1" applyProtection="1">
      <alignment horizontal="center" vertical="center" wrapText="1"/>
      <protection hidden="1"/>
    </xf>
    <xf numFmtId="3" fontId="9" fillId="0" borderId="4" xfId="15" applyNumberFormat="1" applyFont="1" applyBorder="1" applyAlignment="1" applyProtection="1">
      <alignment horizontal="center" vertical="center"/>
      <protection hidden="1"/>
    </xf>
    <xf numFmtId="169" fontId="9" fillId="0" borderId="1" xfId="16" applyNumberFormat="1" applyFont="1" applyBorder="1" applyAlignment="1" applyProtection="1">
      <alignment horizontal="center" vertical="center"/>
      <protection hidden="1"/>
    </xf>
    <xf numFmtId="44" fontId="9" fillId="0" borderId="1" xfId="10" applyFont="1" applyBorder="1" applyAlignment="1" applyProtection="1">
      <alignment horizontal="center" vertical="center"/>
      <protection hidden="1"/>
    </xf>
    <xf numFmtId="3" fontId="9" fillId="0" borderId="1" xfId="15" applyNumberFormat="1" applyFont="1" applyBorder="1" applyAlignment="1" applyProtection="1">
      <alignment vertical="center"/>
      <protection hidden="1"/>
    </xf>
    <xf numFmtId="3" fontId="9" fillId="0" borderId="5" xfId="15" applyNumberFormat="1" applyFont="1" applyBorder="1" applyAlignment="1" applyProtection="1">
      <alignment vertical="center"/>
      <protection hidden="1"/>
    </xf>
    <xf numFmtId="44" fontId="9" fillId="0" borderId="5" xfId="16" applyFont="1" applyBorder="1" applyAlignment="1" applyProtection="1">
      <alignment horizontal="center" vertical="center"/>
      <protection hidden="1"/>
    </xf>
    <xf numFmtId="44" fontId="10" fillId="0" borderId="5" xfId="10" applyFont="1" applyBorder="1" applyAlignment="1" applyProtection="1">
      <alignment vertical="center"/>
      <protection hidden="1"/>
    </xf>
    <xf numFmtId="169" fontId="9" fillId="0" borderId="5" xfId="16" applyNumberFormat="1" applyFont="1" applyBorder="1" applyAlignment="1" applyProtection="1">
      <alignment horizontal="center" vertical="center"/>
      <protection hidden="1"/>
    </xf>
    <xf numFmtId="10" fontId="9" fillId="0" borderId="24" xfId="16" applyNumberFormat="1" applyFont="1" applyBorder="1" applyAlignment="1" applyProtection="1">
      <alignment vertical="center"/>
      <protection hidden="1"/>
    </xf>
    <xf numFmtId="175" fontId="10" fillId="0" borderId="1" xfId="15" applyNumberFormat="1" applyFont="1" applyBorder="1" applyAlignment="1" applyProtection="1">
      <alignment horizontal="center" vertical="center"/>
      <protection hidden="1"/>
    </xf>
    <xf numFmtId="3" fontId="10" fillId="0" borderId="1" xfId="15" applyNumberFormat="1" applyFont="1" applyBorder="1" applyAlignment="1" applyProtection="1">
      <alignment horizontal="right" vertical="center"/>
      <protection hidden="1"/>
    </xf>
    <xf numFmtId="3" fontId="10" fillId="9" borderId="1" xfId="15" applyNumberFormat="1" applyFont="1" applyFill="1" applyBorder="1" applyAlignment="1" applyProtection="1">
      <alignment horizontal="right" vertical="center"/>
      <protection hidden="1"/>
    </xf>
    <xf numFmtId="3" fontId="9" fillId="0" borderId="1" xfId="15" applyNumberFormat="1" applyFont="1" applyBorder="1" applyAlignment="1" applyProtection="1">
      <alignment horizontal="right" vertical="center"/>
      <protection hidden="1"/>
    </xf>
    <xf numFmtId="44" fontId="10" fillId="0" borderId="1" xfId="16" applyFont="1" applyBorder="1" applyAlignment="1" applyProtection="1">
      <alignment horizontal="center" vertical="center"/>
      <protection locked="0"/>
    </xf>
    <xf numFmtId="44" fontId="10" fillId="9" borderId="1" xfId="16" applyFont="1" applyFill="1" applyBorder="1" applyAlignment="1" applyProtection="1">
      <alignment horizontal="center" vertical="center"/>
      <protection locked="0"/>
    </xf>
    <xf numFmtId="44" fontId="9" fillId="0" borderId="24" xfId="16" applyFont="1" applyBorder="1" applyAlignment="1" applyProtection="1">
      <alignment vertical="center"/>
      <protection hidden="1"/>
    </xf>
    <xf numFmtId="44" fontId="9" fillId="0" borderId="23" xfId="16" applyFont="1" applyBorder="1" applyAlignment="1" applyProtection="1">
      <alignment horizontal="center" vertical="center"/>
      <protection hidden="1"/>
    </xf>
    <xf numFmtId="169" fontId="9" fillId="0" borderId="33" xfId="16" applyNumberFormat="1" applyFont="1" applyBorder="1" applyAlignment="1" applyProtection="1">
      <alignment horizontal="center" vertical="center"/>
      <protection hidden="1"/>
    </xf>
    <xf numFmtId="44" fontId="9" fillId="0" borderId="33" xfId="10" applyFont="1" applyBorder="1" applyAlignment="1" applyProtection="1">
      <alignment horizontal="center" vertical="center"/>
      <protection hidden="1"/>
    </xf>
    <xf numFmtId="3" fontId="9" fillId="0" borderId="33" xfId="15" applyNumberFormat="1" applyFont="1" applyBorder="1" applyAlignment="1" applyProtection="1">
      <alignment vertical="center"/>
      <protection hidden="1"/>
    </xf>
    <xf numFmtId="3" fontId="9" fillId="0" borderId="69" xfId="15" applyNumberFormat="1" applyFont="1" applyBorder="1" applyAlignment="1" applyProtection="1">
      <alignment horizontal="center" vertical="center"/>
      <protection hidden="1"/>
    </xf>
    <xf numFmtId="0" fontId="11" fillId="10" borderId="69" xfId="15" applyFont="1" applyFill="1" applyBorder="1" applyAlignment="1" applyProtection="1">
      <alignment vertical="center" wrapText="1"/>
      <protection hidden="1"/>
    </xf>
    <xf numFmtId="0" fontId="10" fillId="0" borderId="0" xfId="15" applyFont="1" applyAlignment="1" applyProtection="1">
      <alignment vertical="center"/>
      <protection hidden="1"/>
    </xf>
    <xf numFmtId="0" fontId="11" fillId="10" borderId="33" xfId="15" applyFont="1" applyFill="1" applyBorder="1" applyAlignment="1" applyProtection="1">
      <alignment horizontal="center" vertical="center"/>
      <protection hidden="1"/>
    </xf>
    <xf numFmtId="44" fontId="10" fillId="0" borderId="8" xfId="10" applyFont="1" applyBorder="1" applyAlignment="1" applyProtection="1">
      <alignment vertical="center"/>
      <protection hidden="1"/>
    </xf>
    <xf numFmtId="44" fontId="10" fillId="0" borderId="26" xfId="16" applyFont="1" applyBorder="1" applyAlignment="1" applyProtection="1">
      <alignment horizontal="center" vertical="center"/>
      <protection hidden="1"/>
    </xf>
    <xf numFmtId="0" fontId="10" fillId="9" borderId="81" xfId="15" applyFont="1" applyFill="1" applyBorder="1" applyAlignment="1" applyProtection="1">
      <alignment horizontal="center" vertical="center"/>
      <protection hidden="1"/>
    </xf>
    <xf numFmtId="3" fontId="10" fillId="9" borderId="19" xfId="15" applyNumberFormat="1" applyFont="1" applyFill="1" applyBorder="1" applyAlignment="1" applyProtection="1">
      <alignment horizontal="center" vertical="center"/>
      <protection hidden="1"/>
    </xf>
    <xf numFmtId="0" fontId="10" fillId="9" borderId="18" xfId="15" applyFont="1" applyFill="1" applyBorder="1" applyAlignment="1" applyProtection="1">
      <alignment horizontal="center" vertical="center"/>
      <protection hidden="1"/>
    </xf>
    <xf numFmtId="3" fontId="10" fillId="9" borderId="20" xfId="17" applyNumberFormat="1" applyFont="1" applyFill="1" applyBorder="1" applyAlignment="1" applyProtection="1">
      <alignment vertical="center"/>
      <protection hidden="1"/>
    </xf>
    <xf numFmtId="3" fontId="10" fillId="9" borderId="18" xfId="15" applyNumberFormat="1" applyFont="1" applyFill="1" applyBorder="1" applyAlignment="1" applyProtection="1">
      <alignment vertical="center"/>
      <protection hidden="1"/>
    </xf>
    <xf numFmtId="10" fontId="10" fillId="9" borderId="17" xfId="16" applyNumberFormat="1" applyFont="1" applyFill="1" applyBorder="1" applyAlignment="1" applyProtection="1">
      <alignment vertical="center"/>
      <protection hidden="1"/>
    </xf>
    <xf numFmtId="3" fontId="10" fillId="9" borderId="19" xfId="15" applyNumberFormat="1" applyFont="1" applyFill="1" applyBorder="1" applyAlignment="1" applyProtection="1">
      <alignment vertical="center"/>
      <protection hidden="1"/>
    </xf>
    <xf numFmtId="175" fontId="10" fillId="9" borderId="19" xfId="15" applyNumberFormat="1" applyFont="1" applyFill="1" applyBorder="1" applyAlignment="1" applyProtection="1">
      <alignment horizontal="center" vertical="center"/>
      <protection hidden="1"/>
    </xf>
    <xf numFmtId="0" fontId="10" fillId="9" borderId="18" xfId="15" applyFont="1" applyFill="1" applyBorder="1" applyAlignment="1" applyProtection="1">
      <alignment vertical="center"/>
      <protection hidden="1"/>
    </xf>
    <xf numFmtId="44" fontId="10" fillId="9" borderId="18" xfId="15" applyNumberFormat="1" applyFont="1" applyFill="1" applyBorder="1" applyAlignment="1" applyProtection="1">
      <alignment vertical="center"/>
      <protection hidden="1"/>
    </xf>
    <xf numFmtId="44" fontId="10" fillId="9" borderId="17" xfId="15" applyNumberFormat="1" applyFont="1" applyFill="1" applyBorder="1" applyAlignment="1" applyProtection="1">
      <alignment vertical="center"/>
      <protection hidden="1"/>
    </xf>
    <xf numFmtId="44" fontId="10" fillId="9" borderId="16" xfId="15" applyNumberFormat="1" applyFont="1" applyFill="1" applyBorder="1" applyAlignment="1" applyProtection="1">
      <alignment vertical="center"/>
      <protection hidden="1"/>
    </xf>
    <xf numFmtId="0" fontId="9" fillId="7" borderId="0" xfId="15" applyFont="1" applyFill="1" applyAlignment="1" applyProtection="1">
      <alignment horizontal="center" vertical="center"/>
      <protection hidden="1"/>
    </xf>
    <xf numFmtId="0" fontId="10" fillId="7" borderId="0" xfId="15" applyFont="1" applyFill="1" applyAlignment="1" applyProtection="1">
      <alignment horizontal="left" vertical="center"/>
      <protection hidden="1"/>
    </xf>
    <xf numFmtId="0" fontId="13" fillId="7" borderId="0" xfId="15" applyFont="1" applyFill="1" applyAlignment="1" applyProtection="1">
      <alignment horizontal="center" vertical="center"/>
      <protection hidden="1"/>
    </xf>
    <xf numFmtId="44" fontId="9" fillId="0" borderId="0" xfId="15" applyNumberFormat="1" applyFont="1" applyAlignment="1" applyProtection="1">
      <alignment vertical="center"/>
      <protection hidden="1"/>
    </xf>
    <xf numFmtId="0" fontId="9" fillId="7" borderId="0" xfId="15" applyFont="1" applyFill="1" applyAlignment="1" applyProtection="1">
      <alignment horizontal="left" vertical="center"/>
      <protection hidden="1"/>
    </xf>
    <xf numFmtId="177" fontId="9" fillId="7" borderId="0" xfId="15" applyNumberFormat="1" applyFont="1" applyFill="1" applyAlignment="1" applyProtection="1">
      <alignment vertical="center"/>
      <protection hidden="1"/>
    </xf>
    <xf numFmtId="44" fontId="9" fillId="7" borderId="0" xfId="15" applyNumberFormat="1" applyFont="1" applyFill="1" applyAlignment="1" applyProtection="1">
      <alignment vertical="center"/>
      <protection hidden="1"/>
    </xf>
    <xf numFmtId="3" fontId="9" fillId="7" borderId="0" xfId="15" applyNumberFormat="1" applyFont="1" applyFill="1" applyAlignment="1" applyProtection="1">
      <alignment vertical="center"/>
      <protection hidden="1"/>
    </xf>
    <xf numFmtId="0" fontId="21" fillId="7" borderId="0" xfId="15" applyFont="1" applyFill="1" applyAlignment="1" applyProtection="1">
      <alignment horizontal="left" vertical="center"/>
      <protection hidden="1"/>
    </xf>
    <xf numFmtId="0" fontId="21" fillId="15" borderId="40" xfId="15" applyFont="1" applyFill="1" applyBorder="1" applyAlignment="1" applyProtection="1">
      <alignment vertical="center"/>
      <protection hidden="1"/>
    </xf>
    <xf numFmtId="0" fontId="21" fillId="15" borderId="39" xfId="15" applyFont="1" applyFill="1" applyBorder="1" applyAlignment="1" applyProtection="1">
      <alignment vertical="center"/>
      <protection hidden="1"/>
    </xf>
    <xf numFmtId="0" fontId="21" fillId="15" borderId="66" xfId="15" applyFont="1" applyFill="1" applyBorder="1" applyAlignment="1" applyProtection="1">
      <alignment vertical="center"/>
      <protection hidden="1"/>
    </xf>
    <xf numFmtId="0" fontId="21" fillId="15" borderId="3" xfId="15" applyFont="1" applyFill="1" applyBorder="1" applyAlignment="1" applyProtection="1">
      <alignment vertical="center"/>
      <protection hidden="1"/>
    </xf>
    <xf numFmtId="0" fontId="10" fillId="12" borderId="48" xfId="15" applyFont="1" applyFill="1" applyBorder="1" applyAlignment="1" applyProtection="1">
      <alignment vertical="center"/>
      <protection hidden="1"/>
    </xf>
    <xf numFmtId="0" fontId="10" fillId="12" borderId="52" xfId="15" applyFont="1" applyFill="1" applyBorder="1" applyAlignment="1" applyProtection="1">
      <alignment vertical="center"/>
      <protection hidden="1"/>
    </xf>
    <xf numFmtId="0" fontId="10" fillId="12" borderId="51" xfId="15" applyFont="1" applyFill="1" applyBorder="1" applyAlignment="1" applyProtection="1">
      <alignment vertical="center"/>
      <protection hidden="1"/>
    </xf>
    <xf numFmtId="0" fontId="10" fillId="9" borderId="9" xfId="15" applyFont="1" applyFill="1" applyBorder="1" applyAlignment="1" applyProtection="1">
      <alignment horizontal="center" vertical="center" wrapText="1"/>
      <protection hidden="1"/>
    </xf>
    <xf numFmtId="0" fontId="10" fillId="9" borderId="30" xfId="15" applyFont="1" applyFill="1" applyBorder="1" applyAlignment="1" applyProtection="1">
      <alignment horizontal="center" vertical="center" wrapText="1"/>
      <protection hidden="1"/>
    </xf>
    <xf numFmtId="0" fontId="9" fillId="9" borderId="31" xfId="15" applyFont="1" applyFill="1" applyBorder="1" applyAlignment="1" applyProtection="1">
      <alignment horizontal="center" vertical="center" wrapText="1"/>
      <protection hidden="1"/>
    </xf>
    <xf numFmtId="0" fontId="9" fillId="9" borderId="30" xfId="15" applyFont="1" applyFill="1" applyBorder="1" applyAlignment="1" applyProtection="1">
      <alignment horizontal="center" vertical="center" wrapText="1"/>
      <protection hidden="1"/>
    </xf>
    <xf numFmtId="0" fontId="19" fillId="9" borderId="9" xfId="15" applyFont="1" applyFill="1" applyBorder="1" applyAlignment="1" applyProtection="1">
      <alignment horizontal="center" vertical="center" wrapText="1"/>
      <protection hidden="1"/>
    </xf>
    <xf numFmtId="0" fontId="19" fillId="9" borderId="30" xfId="15" applyFont="1" applyFill="1" applyBorder="1" applyAlignment="1" applyProtection="1">
      <alignment horizontal="center" vertical="center" wrapText="1"/>
      <protection hidden="1"/>
    </xf>
    <xf numFmtId="0" fontId="19" fillId="9" borderId="31" xfId="15" applyFont="1" applyFill="1" applyBorder="1" applyAlignment="1" applyProtection="1">
      <alignment horizontal="center" vertical="center" wrapText="1"/>
      <protection hidden="1"/>
    </xf>
    <xf numFmtId="0" fontId="19" fillId="9" borderId="44" xfId="15" applyFont="1" applyFill="1" applyBorder="1" applyAlignment="1" applyProtection="1">
      <alignment horizontal="center" vertical="center" wrapText="1"/>
      <protection hidden="1"/>
    </xf>
    <xf numFmtId="0" fontId="19" fillId="9" borderId="54" xfId="15" applyFont="1" applyFill="1" applyBorder="1" applyAlignment="1" applyProtection="1">
      <alignment horizontal="center" vertical="center" wrapText="1"/>
      <protection hidden="1"/>
    </xf>
    <xf numFmtId="0" fontId="19" fillId="9" borderId="41" xfId="15" applyFont="1" applyFill="1" applyBorder="1" applyAlignment="1" applyProtection="1">
      <alignment horizontal="center" vertical="center" wrapText="1"/>
      <protection hidden="1"/>
    </xf>
    <xf numFmtId="0" fontId="9" fillId="7" borderId="0" xfId="15" applyFont="1" applyFill="1" applyAlignment="1" applyProtection="1">
      <alignment vertical="center" wrapText="1"/>
      <protection hidden="1"/>
    </xf>
    <xf numFmtId="0" fontId="9" fillId="7" borderId="1" xfId="15" applyFont="1" applyFill="1" applyBorder="1" applyAlignment="1" applyProtection="1">
      <alignment vertical="center" wrapText="1"/>
      <protection hidden="1"/>
    </xf>
    <xf numFmtId="0" fontId="20" fillId="10" borderId="7" xfId="15" applyFont="1" applyFill="1" applyBorder="1" applyAlignment="1" applyProtection="1">
      <alignment horizontal="center" vertical="center"/>
      <protection hidden="1"/>
    </xf>
    <xf numFmtId="3" fontId="9" fillId="0" borderId="33" xfId="15" applyNumberFormat="1" applyFont="1" applyBorder="1" applyAlignment="1" applyProtection="1">
      <alignment horizontal="center" vertical="center"/>
      <protection hidden="1"/>
    </xf>
    <xf numFmtId="178" fontId="9" fillId="0" borderId="33" xfId="15" applyNumberFormat="1" applyFont="1" applyBorder="1" applyAlignment="1" applyProtection="1">
      <alignment horizontal="center" vertical="center"/>
      <protection hidden="1"/>
    </xf>
    <xf numFmtId="44" fontId="9" fillId="0" borderId="32" xfId="16" applyFont="1" applyBorder="1" applyAlignment="1" applyProtection="1">
      <alignment vertical="center"/>
      <protection hidden="1"/>
    </xf>
    <xf numFmtId="44" fontId="9" fillId="0" borderId="26" xfId="16" applyFont="1" applyBorder="1" applyAlignment="1" applyProtection="1">
      <alignment horizontal="center" vertical="center"/>
      <protection hidden="1"/>
    </xf>
    <xf numFmtId="0" fontId="20" fillId="10" borderId="14" xfId="15" applyFont="1" applyFill="1" applyBorder="1" applyAlignment="1" applyProtection="1">
      <alignment horizontal="center" vertical="center"/>
      <protection hidden="1"/>
    </xf>
    <xf numFmtId="3" fontId="9" fillId="0" borderId="1" xfId="15" applyNumberFormat="1" applyFont="1" applyBorder="1" applyAlignment="1" applyProtection="1">
      <alignment horizontal="center" vertical="center"/>
      <protection hidden="1"/>
    </xf>
    <xf numFmtId="4" fontId="9" fillId="0" borderId="1" xfId="15" applyNumberFormat="1" applyFont="1" applyBorder="1" applyAlignment="1" applyProtection="1">
      <alignment horizontal="center" vertical="center"/>
      <protection hidden="1"/>
    </xf>
    <xf numFmtId="0" fontId="20" fillId="10" borderId="14" xfId="15" applyFont="1" applyFill="1" applyBorder="1" applyAlignment="1" applyProtection="1">
      <alignment horizontal="center" vertical="center" wrapText="1"/>
      <protection hidden="1"/>
    </xf>
    <xf numFmtId="0" fontId="9" fillId="7" borderId="83" xfId="15" applyFont="1" applyFill="1" applyBorder="1" applyAlignment="1" applyProtection="1">
      <alignment vertical="center"/>
      <protection hidden="1"/>
    </xf>
    <xf numFmtId="4" fontId="9" fillId="0" borderId="1" xfId="16" applyNumberFormat="1" applyFont="1" applyBorder="1" applyAlignment="1" applyProtection="1">
      <alignment horizontal="center" vertical="center"/>
      <protection hidden="1"/>
    </xf>
    <xf numFmtId="3" fontId="18" fillId="0" borderId="1" xfId="15" applyNumberFormat="1" applyFont="1" applyBorder="1" applyAlignment="1" applyProtection="1">
      <alignment horizontal="center" vertical="center"/>
      <protection hidden="1"/>
    </xf>
    <xf numFmtId="4" fontId="18" fillId="0" borderId="1" xfId="15" applyNumberFormat="1" applyFont="1" applyBorder="1" applyAlignment="1" applyProtection="1">
      <alignment horizontal="center" vertical="center"/>
      <protection hidden="1"/>
    </xf>
    <xf numFmtId="169" fontId="18" fillId="0" borderId="1" xfId="16" applyNumberFormat="1" applyFont="1" applyBorder="1" applyAlignment="1" applyProtection="1">
      <alignment horizontal="center" vertical="center"/>
      <protection hidden="1"/>
    </xf>
    <xf numFmtId="3" fontId="18" fillId="0" borderId="70" xfId="15" applyNumberFormat="1" applyFont="1" applyBorder="1" applyAlignment="1" applyProtection="1">
      <alignment horizontal="center" vertical="center"/>
      <protection hidden="1"/>
    </xf>
    <xf numFmtId="167" fontId="18" fillId="0" borderId="69" xfId="16" applyNumberFormat="1" applyFont="1" applyBorder="1" applyAlignment="1" applyProtection="1">
      <alignment horizontal="center" vertical="center"/>
      <protection hidden="1"/>
    </xf>
    <xf numFmtId="4" fontId="18" fillId="0" borderId="69" xfId="16" applyNumberFormat="1" applyFont="1" applyBorder="1" applyAlignment="1" applyProtection="1">
      <alignment horizontal="center" vertical="center"/>
      <protection hidden="1"/>
    </xf>
    <xf numFmtId="3" fontId="18" fillId="0" borderId="69" xfId="16" applyNumberFormat="1" applyFont="1" applyBorder="1" applyAlignment="1" applyProtection="1">
      <alignment horizontal="center" vertical="center"/>
      <protection hidden="1"/>
    </xf>
    <xf numFmtId="169" fontId="18" fillId="0" borderId="69" xfId="16" applyNumberFormat="1" applyFont="1" applyBorder="1" applyAlignment="1" applyProtection="1">
      <alignment horizontal="center" vertical="center"/>
      <protection hidden="1"/>
    </xf>
    <xf numFmtId="3" fontId="10" fillId="9" borderId="86" xfId="15" applyNumberFormat="1" applyFont="1" applyFill="1" applyBorder="1" applyAlignment="1" applyProtection="1">
      <alignment horizontal="center" vertical="center"/>
      <protection hidden="1"/>
    </xf>
    <xf numFmtId="3" fontId="10" fillId="9" borderId="87" xfId="15" applyNumberFormat="1" applyFont="1" applyFill="1" applyBorder="1" applyAlignment="1" applyProtection="1">
      <alignment horizontal="center" vertical="center"/>
      <protection hidden="1"/>
    </xf>
    <xf numFmtId="0" fontId="10" fillId="9" borderId="88" xfId="15" applyFont="1" applyFill="1" applyBorder="1" applyAlignment="1" applyProtection="1">
      <alignment horizontal="center" vertical="center"/>
      <protection hidden="1"/>
    </xf>
    <xf numFmtId="3" fontId="10" fillId="9" borderId="88" xfId="15" applyNumberFormat="1" applyFont="1" applyFill="1" applyBorder="1" applyAlignment="1" applyProtection="1">
      <alignment vertical="center"/>
      <protection hidden="1"/>
    </xf>
    <xf numFmtId="44" fontId="10" fillId="9" borderId="89" xfId="16" applyFont="1" applyFill="1" applyBorder="1" applyAlignment="1" applyProtection="1">
      <alignment vertical="center"/>
      <protection hidden="1"/>
    </xf>
    <xf numFmtId="44" fontId="10" fillId="9" borderId="81" xfId="16" applyFont="1" applyFill="1" applyBorder="1" applyAlignment="1" applyProtection="1">
      <alignment vertical="center"/>
      <protection hidden="1"/>
    </xf>
    <xf numFmtId="3" fontId="10" fillId="9" borderId="86" xfId="15" applyNumberFormat="1" applyFont="1" applyFill="1" applyBorder="1" applyAlignment="1" applyProtection="1">
      <alignment vertical="center"/>
      <protection hidden="1"/>
    </xf>
    <xf numFmtId="0" fontId="10" fillId="9" borderId="88" xfId="15" applyFont="1" applyFill="1" applyBorder="1" applyAlignment="1" applyProtection="1">
      <alignment vertical="center"/>
      <protection hidden="1"/>
    </xf>
    <xf numFmtId="44" fontId="10" fillId="9" borderId="89" xfId="15" applyNumberFormat="1" applyFont="1" applyFill="1" applyBorder="1" applyAlignment="1" applyProtection="1">
      <alignment vertical="center"/>
      <protection hidden="1"/>
    </xf>
    <xf numFmtId="0" fontId="21" fillId="7" borderId="0" xfId="15" applyFont="1" applyFill="1" applyAlignment="1">
      <alignment horizontal="left" vertical="center"/>
    </xf>
    <xf numFmtId="0" fontId="9" fillId="7" borderId="0" xfId="15" applyFont="1" applyFill="1" applyAlignment="1">
      <alignment vertical="center"/>
    </xf>
    <xf numFmtId="0" fontId="10" fillId="9" borderId="30" xfId="15" applyFont="1" applyFill="1" applyBorder="1" applyAlignment="1">
      <alignment horizontal="center" vertical="center" wrapText="1"/>
    </xf>
    <xf numFmtId="0" fontId="10" fillId="9" borderId="10" xfId="15" applyFont="1" applyFill="1" applyBorder="1" applyAlignment="1">
      <alignment horizontal="center" vertical="center" wrapText="1"/>
    </xf>
    <xf numFmtId="0" fontId="10" fillId="9" borderId="29" xfId="15" applyFont="1" applyFill="1" applyBorder="1" applyAlignment="1">
      <alignment horizontal="center" vertical="center" wrapText="1"/>
    </xf>
    <xf numFmtId="0" fontId="19" fillId="9" borderId="8" xfId="15" applyFont="1" applyFill="1" applyBorder="1" applyAlignment="1">
      <alignment horizontal="center" vertical="center" wrapText="1"/>
    </xf>
    <xf numFmtId="0" fontId="19" fillId="9" borderId="32" xfId="15" applyFont="1" applyFill="1" applyBorder="1" applyAlignment="1">
      <alignment horizontal="center" vertical="center" wrapText="1"/>
    </xf>
    <xf numFmtId="0" fontId="9" fillId="7" borderId="0" xfId="15" applyFont="1" applyFill="1" applyAlignment="1">
      <alignment vertical="center" wrapText="1"/>
    </xf>
    <xf numFmtId="0" fontId="9" fillId="10" borderId="25" xfId="15" applyFont="1" applyFill="1" applyBorder="1" applyAlignment="1" applyProtection="1">
      <alignment horizontal="center" vertical="center"/>
      <protection hidden="1"/>
    </xf>
    <xf numFmtId="0" fontId="20" fillId="10" borderId="5" xfId="15" applyFont="1" applyFill="1" applyBorder="1" applyAlignment="1" applyProtection="1">
      <alignment horizontal="center" vertical="center"/>
      <protection hidden="1"/>
    </xf>
    <xf numFmtId="44" fontId="18" fillId="0" borderId="1" xfId="15" applyNumberFormat="1" applyFont="1" applyBorder="1" applyAlignment="1">
      <alignment horizontal="center" vertical="center" wrapText="1"/>
    </xf>
    <xf numFmtId="44" fontId="18" fillId="0" borderId="5" xfId="15" applyNumberFormat="1" applyFont="1" applyBorder="1" applyAlignment="1">
      <alignment horizontal="center" vertical="center" wrapText="1"/>
    </xf>
    <xf numFmtId="44" fontId="19" fillId="9" borderId="24" xfId="16" applyFont="1" applyFill="1" applyBorder="1" applyAlignment="1">
      <alignment horizontal="center" vertical="center" wrapText="1"/>
    </xf>
    <xf numFmtId="44" fontId="10" fillId="9" borderId="42" xfId="16" applyFont="1" applyFill="1" applyBorder="1" applyAlignment="1">
      <alignment horizontal="center" vertical="center"/>
    </xf>
    <xf numFmtId="44" fontId="10" fillId="9" borderId="2" xfId="16" applyFont="1" applyFill="1" applyBorder="1" applyAlignment="1">
      <alignment horizontal="center" vertical="center"/>
    </xf>
    <xf numFmtId="0" fontId="10" fillId="7" borderId="0" xfId="15" applyFont="1" applyFill="1" applyAlignment="1">
      <alignment horizontal="left" vertical="center"/>
    </xf>
    <xf numFmtId="0" fontId="9" fillId="7" borderId="0" xfId="15" applyFont="1" applyFill="1" applyAlignment="1">
      <alignment horizontal="center" vertical="center"/>
    </xf>
    <xf numFmtId="0" fontId="9" fillId="7" borderId="0" xfId="15" applyFont="1" applyFill="1" applyAlignment="1">
      <alignment horizontal="left" vertical="center"/>
    </xf>
    <xf numFmtId="170" fontId="0" fillId="0" borderId="0" xfId="0" applyNumberFormat="1"/>
    <xf numFmtId="3" fontId="33" fillId="0" borderId="1" xfId="15" applyNumberFormat="1" applyFont="1" applyBorder="1" applyAlignment="1" applyProtection="1">
      <alignment horizontal="center" vertical="center"/>
      <protection hidden="1"/>
    </xf>
    <xf numFmtId="4" fontId="33" fillId="0" borderId="1" xfId="15" applyNumberFormat="1" applyFont="1" applyBorder="1" applyAlignment="1" applyProtection="1">
      <alignment horizontal="center" vertical="center"/>
      <protection hidden="1"/>
    </xf>
    <xf numFmtId="3" fontId="9" fillId="0" borderId="34" xfId="15" applyNumberFormat="1" applyFont="1" applyBorder="1" applyAlignment="1" applyProtection="1">
      <alignment horizontal="center" vertical="center"/>
      <protection locked="0"/>
    </xf>
    <xf numFmtId="4" fontId="9" fillId="0" borderId="34" xfId="15" applyNumberFormat="1" applyFont="1" applyBorder="1" applyAlignment="1" applyProtection="1">
      <alignment horizontal="center" vertical="center"/>
      <protection locked="0"/>
    </xf>
    <xf numFmtId="169" fontId="9" fillId="0" borderId="33" xfId="16" applyNumberFormat="1" applyFont="1" applyBorder="1" applyAlignment="1" applyProtection="1">
      <alignment horizontal="center" vertical="center"/>
      <protection locked="0"/>
    </xf>
    <xf numFmtId="3" fontId="9" fillId="0" borderId="25" xfId="15" applyNumberFormat="1" applyFont="1" applyBorder="1" applyAlignment="1" applyProtection="1">
      <alignment horizontal="center" vertical="center"/>
      <protection locked="0"/>
    </xf>
    <xf numFmtId="4" fontId="9" fillId="0" borderId="1" xfId="15" applyNumberFormat="1" applyFont="1" applyBorder="1" applyAlignment="1" applyProtection="1">
      <alignment horizontal="center" vertical="center"/>
      <protection locked="0"/>
    </xf>
    <xf numFmtId="169" fontId="9" fillId="0" borderId="1" xfId="16" applyNumberFormat="1" applyFont="1" applyBorder="1" applyAlignment="1" applyProtection="1">
      <alignment horizontal="center" vertical="center"/>
      <protection locked="0"/>
    </xf>
    <xf numFmtId="4" fontId="33" fillId="0" borderId="34" xfId="15" applyNumberFormat="1" applyFont="1" applyBorder="1" applyAlignment="1" applyProtection="1">
      <alignment horizontal="center" vertical="center"/>
      <protection locked="0"/>
    </xf>
    <xf numFmtId="3" fontId="33" fillId="0" borderId="34" xfId="15" applyNumberFormat="1" applyFont="1" applyBorder="1" applyAlignment="1" applyProtection="1">
      <alignment horizontal="center" vertical="center"/>
      <protection locked="0"/>
    </xf>
    <xf numFmtId="3" fontId="33" fillId="0" borderId="33" xfId="15" applyNumberFormat="1" applyFont="1" applyBorder="1" applyAlignment="1" applyProtection="1">
      <alignment horizontal="center" vertical="center"/>
      <protection hidden="1"/>
    </xf>
    <xf numFmtId="169" fontId="33" fillId="0" borderId="33" xfId="16" applyNumberFormat="1" applyFont="1" applyBorder="1" applyAlignment="1" applyProtection="1">
      <alignment horizontal="center" vertical="center"/>
      <protection locked="0"/>
    </xf>
    <xf numFmtId="3" fontId="33" fillId="0" borderId="33" xfId="15" applyNumberFormat="1" applyFont="1" applyBorder="1" applyAlignment="1" applyProtection="1">
      <alignment vertical="center"/>
      <protection hidden="1"/>
    </xf>
    <xf numFmtId="44" fontId="33" fillId="0" borderId="32" xfId="16" applyFont="1" applyBorder="1" applyAlignment="1" applyProtection="1">
      <alignment vertical="center"/>
      <protection hidden="1"/>
    </xf>
    <xf numFmtId="0" fontId="34" fillId="0" borderId="0" xfId="0" applyFont="1"/>
    <xf numFmtId="44" fontId="35" fillId="0" borderId="0" xfId="2" applyNumberFormat="1" applyFont="1" applyProtection="1">
      <protection hidden="1"/>
    </xf>
    <xf numFmtId="173" fontId="35" fillId="0" borderId="0" xfId="2" applyNumberFormat="1" applyFont="1" applyProtection="1">
      <protection hidden="1"/>
    </xf>
    <xf numFmtId="0" fontId="0" fillId="0" borderId="0" xfId="0" applyAlignment="1">
      <alignment horizontal="right"/>
    </xf>
    <xf numFmtId="0" fontId="13" fillId="10" borderId="69" xfId="15" applyFont="1" applyFill="1" applyBorder="1" applyAlignment="1" applyProtection="1">
      <alignment horizontal="center" vertical="center"/>
      <protection hidden="1"/>
    </xf>
    <xf numFmtId="175" fontId="9" fillId="0" borderId="33" xfId="15" applyNumberFormat="1" applyFont="1" applyBorder="1" applyAlignment="1" applyProtection="1">
      <alignment horizontal="center" vertical="center"/>
      <protection hidden="1"/>
    </xf>
    <xf numFmtId="3" fontId="9" fillId="0" borderId="33" xfId="15" applyNumberFormat="1" applyFont="1" applyBorder="1" applyAlignment="1" applyProtection="1">
      <alignment horizontal="right" vertical="center"/>
      <protection hidden="1"/>
    </xf>
    <xf numFmtId="44" fontId="9" fillId="0" borderId="33" xfId="16" applyFont="1" applyBorder="1" applyAlignment="1" applyProtection="1">
      <alignment horizontal="center" vertical="center"/>
      <protection locked="0"/>
    </xf>
    <xf numFmtId="44" fontId="9" fillId="0" borderId="1" xfId="16" applyFont="1" applyBorder="1" applyAlignment="1" applyProtection="1">
      <alignment horizontal="center" vertical="center"/>
      <protection locked="0"/>
    </xf>
    <xf numFmtId="0" fontId="13" fillId="19" borderId="69" xfId="15" applyFont="1" applyFill="1" applyBorder="1" applyAlignment="1" applyProtection="1">
      <alignment horizontal="center" vertical="center"/>
      <protection hidden="1"/>
    </xf>
    <xf numFmtId="3" fontId="10" fillId="19" borderId="70" xfId="15" applyNumberFormat="1" applyFont="1" applyFill="1" applyBorder="1" applyAlignment="1" applyProtection="1">
      <alignment horizontal="center" vertical="center"/>
      <protection hidden="1"/>
    </xf>
    <xf numFmtId="169" fontId="10" fillId="19" borderId="69" xfId="16" applyNumberFormat="1" applyFont="1" applyFill="1" applyBorder="1" applyAlignment="1" applyProtection="1">
      <alignment horizontal="center" vertical="center"/>
      <protection hidden="1"/>
    </xf>
    <xf numFmtId="44" fontId="10" fillId="19" borderId="69" xfId="10" applyFont="1" applyFill="1" applyBorder="1" applyAlignment="1" applyProtection="1">
      <alignment horizontal="center" vertical="center"/>
      <protection hidden="1"/>
    </xf>
    <xf numFmtId="3" fontId="10" fillId="19" borderId="71" xfId="15" applyNumberFormat="1" applyFont="1" applyFill="1" applyBorder="1" applyAlignment="1" applyProtection="1">
      <alignment vertical="center"/>
      <protection hidden="1"/>
    </xf>
    <xf numFmtId="3" fontId="10" fillId="19" borderId="69" xfId="15" applyNumberFormat="1" applyFont="1" applyFill="1" applyBorder="1" applyAlignment="1" applyProtection="1">
      <alignment vertical="center"/>
      <protection hidden="1"/>
    </xf>
    <xf numFmtId="165" fontId="10" fillId="19" borderId="71" xfId="15" applyNumberFormat="1" applyFont="1" applyFill="1" applyBorder="1" applyAlignment="1" applyProtection="1">
      <alignment vertical="center"/>
      <protection hidden="1"/>
    </xf>
    <xf numFmtId="44" fontId="10" fillId="19" borderId="71" xfId="10" applyFont="1" applyFill="1" applyBorder="1" applyAlignment="1" applyProtection="1">
      <alignment vertical="center"/>
      <protection hidden="1"/>
    </xf>
    <xf numFmtId="10" fontId="10" fillId="19" borderId="72" xfId="16" applyNumberFormat="1" applyFont="1" applyFill="1" applyBorder="1" applyAlignment="1" applyProtection="1">
      <alignment vertical="center"/>
      <protection hidden="1"/>
    </xf>
    <xf numFmtId="3" fontId="10" fillId="19" borderId="73" xfId="15" applyNumberFormat="1" applyFont="1" applyFill="1" applyBorder="1" applyAlignment="1" applyProtection="1">
      <alignment horizontal="right" vertical="center"/>
      <protection locked="0"/>
    </xf>
    <xf numFmtId="3" fontId="10" fillId="19" borderId="70" xfId="15" applyNumberFormat="1" applyFont="1" applyFill="1" applyBorder="1" applyAlignment="1" applyProtection="1">
      <alignment horizontal="right" vertical="center"/>
      <protection locked="0"/>
    </xf>
    <xf numFmtId="3" fontId="10" fillId="19" borderId="69" xfId="15" applyNumberFormat="1" applyFont="1" applyFill="1" applyBorder="1" applyAlignment="1" applyProtection="1">
      <alignment horizontal="right" vertical="center"/>
      <protection locked="0"/>
    </xf>
    <xf numFmtId="175" fontId="10" fillId="19" borderId="69" xfId="15" applyNumberFormat="1" applyFont="1" applyFill="1" applyBorder="1" applyAlignment="1" applyProtection="1">
      <alignment horizontal="center" vertical="center"/>
      <protection hidden="1"/>
    </xf>
    <xf numFmtId="3" fontId="10" fillId="19" borderId="69" xfId="15" applyNumberFormat="1" applyFont="1" applyFill="1" applyBorder="1" applyAlignment="1" applyProtection="1">
      <alignment horizontal="right" vertical="center"/>
      <protection hidden="1"/>
    </xf>
    <xf numFmtId="44" fontId="10" fillId="19" borderId="69" xfId="16" applyFont="1" applyFill="1" applyBorder="1" applyAlignment="1" applyProtection="1">
      <alignment horizontal="center" vertical="center"/>
      <protection locked="0"/>
    </xf>
    <xf numFmtId="44" fontId="10" fillId="19" borderId="72" xfId="16" applyFont="1" applyFill="1" applyBorder="1" applyAlignment="1" applyProtection="1">
      <alignment vertical="center"/>
      <protection hidden="1"/>
    </xf>
    <xf numFmtId="0" fontId="13" fillId="19" borderId="75" xfId="15" applyFont="1" applyFill="1" applyBorder="1" applyAlignment="1" applyProtection="1">
      <alignment horizontal="center" vertical="center"/>
      <protection hidden="1"/>
    </xf>
    <xf numFmtId="3" fontId="10" fillId="19" borderId="76" xfId="15" applyNumberFormat="1" applyFont="1" applyFill="1" applyBorder="1" applyAlignment="1" applyProtection="1">
      <alignment horizontal="center" vertical="center"/>
      <protection hidden="1"/>
    </xf>
    <xf numFmtId="169" fontId="10" fillId="19" borderId="75" xfId="16" applyNumberFormat="1" applyFont="1" applyFill="1" applyBorder="1" applyAlignment="1" applyProtection="1">
      <alignment horizontal="center" vertical="center"/>
      <protection hidden="1"/>
    </xf>
    <xf numFmtId="44" fontId="10" fillId="19" borderId="75" xfId="10" applyFont="1" applyFill="1" applyBorder="1" applyAlignment="1" applyProtection="1">
      <alignment horizontal="center" vertical="center"/>
      <protection hidden="1"/>
    </xf>
    <xf numFmtId="3" fontId="10" fillId="19" borderId="77" xfId="15" applyNumberFormat="1" applyFont="1" applyFill="1" applyBorder="1" applyAlignment="1" applyProtection="1">
      <alignment vertical="center"/>
      <protection hidden="1"/>
    </xf>
    <xf numFmtId="3" fontId="10" fillId="19" borderId="75" xfId="15" applyNumberFormat="1" applyFont="1" applyFill="1" applyBorder="1" applyAlignment="1" applyProtection="1">
      <alignment vertical="center"/>
      <protection hidden="1"/>
    </xf>
    <xf numFmtId="44" fontId="10" fillId="19" borderId="77" xfId="10" applyFont="1" applyFill="1" applyBorder="1" applyAlignment="1" applyProtection="1">
      <alignment vertical="center"/>
      <protection hidden="1"/>
    </xf>
    <xf numFmtId="10" fontId="10" fillId="19" borderId="78" xfId="16" applyNumberFormat="1" applyFont="1" applyFill="1" applyBorder="1" applyAlignment="1" applyProtection="1">
      <alignment vertical="center"/>
      <protection hidden="1"/>
    </xf>
    <xf numFmtId="3" fontId="10" fillId="19" borderId="79" xfId="15" applyNumberFormat="1" applyFont="1" applyFill="1" applyBorder="1" applyAlignment="1" applyProtection="1">
      <alignment horizontal="right" vertical="center"/>
      <protection locked="0"/>
    </xf>
    <xf numFmtId="3" fontId="10" fillId="19" borderId="76" xfId="15" applyNumberFormat="1" applyFont="1" applyFill="1" applyBorder="1" applyAlignment="1" applyProtection="1">
      <alignment horizontal="right" vertical="center"/>
      <protection locked="0"/>
    </xf>
    <xf numFmtId="3" fontId="10" fillId="19" borderId="75" xfId="15" applyNumberFormat="1" applyFont="1" applyFill="1" applyBorder="1" applyAlignment="1" applyProtection="1">
      <alignment horizontal="right" vertical="center"/>
      <protection locked="0"/>
    </xf>
    <xf numFmtId="175" fontId="10" fillId="19" borderId="75" xfId="15" applyNumberFormat="1" applyFont="1" applyFill="1" applyBorder="1" applyAlignment="1" applyProtection="1">
      <alignment horizontal="center" vertical="center"/>
      <protection hidden="1"/>
    </xf>
    <xf numFmtId="176" fontId="10" fillId="19" borderId="75" xfId="15" applyNumberFormat="1" applyFont="1" applyFill="1" applyBorder="1" applyAlignment="1" applyProtection="1">
      <alignment horizontal="center" vertical="center"/>
      <protection locked="0"/>
    </xf>
    <xf numFmtId="3" fontId="10" fillId="19" borderId="75" xfId="15" applyNumberFormat="1" applyFont="1" applyFill="1" applyBorder="1" applyAlignment="1" applyProtection="1">
      <alignment horizontal="right" vertical="center"/>
      <protection hidden="1"/>
    </xf>
    <xf numFmtId="44" fontId="10" fillId="19" borderId="75" xfId="16" applyFont="1" applyFill="1" applyBorder="1" applyAlignment="1" applyProtection="1">
      <alignment horizontal="center" vertical="center"/>
      <protection locked="0"/>
    </xf>
    <xf numFmtId="44" fontId="10" fillId="19" borderId="78" xfId="16" applyFont="1" applyFill="1" applyBorder="1" applyAlignment="1" applyProtection="1">
      <alignment vertical="center"/>
      <protection hidden="1"/>
    </xf>
    <xf numFmtId="3" fontId="9" fillId="0" borderId="6" xfId="15" applyNumberFormat="1" applyFont="1" applyBorder="1" applyAlignment="1" applyProtection="1">
      <alignment horizontal="center" vertical="center"/>
      <protection hidden="1"/>
    </xf>
    <xf numFmtId="176" fontId="0" fillId="0" borderId="0" xfId="0" applyNumberFormat="1"/>
    <xf numFmtId="1" fontId="13" fillId="7" borderId="15" xfId="15" applyNumberFormat="1" applyFont="1" applyFill="1" applyBorder="1" applyAlignment="1" applyProtection="1">
      <alignment horizontal="center" vertical="center"/>
      <protection locked="0"/>
    </xf>
    <xf numFmtId="10" fontId="9" fillId="0" borderId="32" xfId="16" applyNumberFormat="1" applyFont="1" applyBorder="1" applyAlignment="1" applyProtection="1">
      <alignment vertical="center"/>
      <protection hidden="1"/>
    </xf>
    <xf numFmtId="0" fontId="20" fillId="19" borderId="77" xfId="15" applyFont="1" applyFill="1" applyBorder="1" applyAlignment="1" applyProtection="1">
      <alignment horizontal="center" vertical="center"/>
      <protection hidden="1"/>
    </xf>
    <xf numFmtId="3" fontId="9" fillId="19" borderId="75" xfId="15" applyNumberFormat="1" applyFont="1" applyFill="1" applyBorder="1" applyAlignment="1" applyProtection="1">
      <alignment horizontal="center" vertical="center"/>
      <protection hidden="1"/>
    </xf>
    <xf numFmtId="175" fontId="9" fillId="19" borderId="75" xfId="15" applyNumberFormat="1" applyFont="1" applyFill="1" applyBorder="1" applyAlignment="1" applyProtection="1">
      <alignment horizontal="center" vertical="center"/>
      <protection hidden="1"/>
    </xf>
    <xf numFmtId="44" fontId="9" fillId="19" borderId="78" xfId="16" applyFont="1" applyFill="1" applyBorder="1" applyAlignment="1" applyProtection="1">
      <alignment vertical="center"/>
      <protection hidden="1"/>
    </xf>
    <xf numFmtId="3" fontId="9" fillId="19" borderId="79" xfId="15" applyNumberFormat="1" applyFont="1" applyFill="1" applyBorder="1" applyAlignment="1" applyProtection="1">
      <alignment horizontal="center" vertical="center"/>
      <protection locked="0"/>
    </xf>
    <xf numFmtId="4" fontId="9" fillId="19" borderId="75" xfId="15" applyNumberFormat="1" applyFont="1" applyFill="1" applyBorder="1" applyAlignment="1" applyProtection="1">
      <alignment horizontal="center" vertical="center"/>
      <protection locked="0"/>
    </xf>
    <xf numFmtId="44" fontId="9" fillId="19" borderId="75" xfId="16" applyFont="1" applyFill="1" applyBorder="1" applyAlignment="1" applyProtection="1">
      <alignment horizontal="center" vertical="center"/>
      <protection locked="0"/>
    </xf>
    <xf numFmtId="3" fontId="9" fillId="19" borderId="75" xfId="15" applyNumberFormat="1" applyFont="1" applyFill="1" applyBorder="1" applyAlignment="1" applyProtection="1">
      <alignment vertical="center"/>
      <protection hidden="1"/>
    </xf>
    <xf numFmtId="169" fontId="18" fillId="19" borderId="75" xfId="16" applyNumberFormat="1" applyFont="1" applyFill="1" applyBorder="1" applyAlignment="1" applyProtection="1">
      <alignment horizontal="center" vertical="center"/>
      <protection hidden="1"/>
    </xf>
    <xf numFmtId="4" fontId="18" fillId="19" borderId="75" xfId="16" applyNumberFormat="1" applyFont="1" applyFill="1" applyBorder="1" applyAlignment="1" applyProtection="1">
      <alignment horizontal="center" vertical="center"/>
      <protection hidden="1"/>
    </xf>
    <xf numFmtId="0" fontId="20" fillId="0" borderId="14" xfId="15" applyFont="1" applyBorder="1" applyAlignment="1" applyProtection="1">
      <alignment horizontal="center" vertical="center" wrapText="1"/>
      <protection hidden="1"/>
    </xf>
    <xf numFmtId="44" fontId="33" fillId="0" borderId="23" xfId="16" applyFont="1" applyBorder="1" applyAlignment="1" applyProtection="1">
      <alignment horizontal="center" vertical="center"/>
      <protection hidden="1"/>
    </xf>
    <xf numFmtId="3" fontId="11" fillId="0" borderId="1" xfId="15" applyNumberFormat="1" applyFont="1" applyBorder="1" applyAlignment="1" applyProtection="1">
      <alignment horizontal="center" vertical="center"/>
      <protection hidden="1"/>
    </xf>
    <xf numFmtId="4" fontId="11" fillId="0" borderId="1" xfId="15" applyNumberFormat="1" applyFont="1" applyBorder="1" applyAlignment="1" applyProtection="1">
      <alignment horizontal="center" vertical="center"/>
      <protection hidden="1"/>
    </xf>
    <xf numFmtId="4" fontId="11" fillId="0" borderId="34" xfId="15" applyNumberFormat="1" applyFont="1" applyBorder="1" applyAlignment="1" applyProtection="1">
      <alignment horizontal="center" vertical="center"/>
      <protection locked="0"/>
    </xf>
    <xf numFmtId="3" fontId="11" fillId="0" borderId="34" xfId="15" applyNumberFormat="1" applyFont="1" applyBorder="1" applyAlignment="1" applyProtection="1">
      <alignment horizontal="center" vertical="center"/>
      <protection locked="0"/>
    </xf>
    <xf numFmtId="3" fontId="9" fillId="7" borderId="0" xfId="15" applyNumberFormat="1" applyFont="1" applyFill="1" applyAlignment="1" applyProtection="1">
      <alignment horizontal="center" vertical="center"/>
      <protection hidden="1"/>
    </xf>
    <xf numFmtId="49" fontId="10" fillId="9" borderId="5" xfId="15" applyNumberFormat="1" applyFont="1" applyFill="1" applyBorder="1" applyAlignment="1" applyProtection="1">
      <alignment horizontal="center" vertical="center" wrapText="1"/>
      <protection hidden="1"/>
    </xf>
    <xf numFmtId="170" fontId="38" fillId="19" borderId="1" xfId="2" applyNumberFormat="1" applyFont="1" applyFill="1" applyBorder="1" applyProtection="1">
      <protection hidden="1"/>
    </xf>
    <xf numFmtId="3" fontId="46" fillId="0" borderId="33" xfId="15" applyNumberFormat="1" applyFont="1" applyBorder="1" applyAlignment="1" applyProtection="1">
      <alignment vertical="center"/>
      <protection hidden="1"/>
    </xf>
    <xf numFmtId="44" fontId="46" fillId="0" borderId="23" xfId="16" applyFont="1" applyBorder="1" applyAlignment="1" applyProtection="1">
      <alignment horizontal="center" vertical="center"/>
      <protection hidden="1"/>
    </xf>
    <xf numFmtId="3" fontId="9" fillId="0" borderId="25" xfId="15" applyNumberFormat="1" applyFont="1" applyBorder="1" applyAlignment="1" applyProtection="1">
      <alignment horizontal="right" vertical="center"/>
      <protection locked="0"/>
    </xf>
    <xf numFmtId="3" fontId="9" fillId="0" borderId="4" xfId="15" applyNumberFormat="1" applyFont="1" applyBorder="1" applyAlignment="1" applyProtection="1">
      <alignment horizontal="right" vertical="center"/>
      <protection locked="0"/>
    </xf>
    <xf numFmtId="3" fontId="9" fillId="0" borderId="1" xfId="15" applyNumberFormat="1" applyFont="1" applyBorder="1" applyAlignment="1" applyProtection="1">
      <alignment horizontal="right" vertical="center"/>
      <protection locked="0"/>
    </xf>
    <xf numFmtId="175" fontId="9" fillId="0" borderId="1" xfId="15" applyNumberFormat="1" applyFont="1" applyBorder="1" applyAlignment="1" applyProtection="1">
      <alignment horizontal="center" vertical="center"/>
      <protection hidden="1"/>
    </xf>
    <xf numFmtId="176" fontId="9" fillId="0" borderId="1" xfId="15" applyNumberFormat="1" applyFont="1" applyBorder="1" applyAlignment="1" applyProtection="1">
      <alignment horizontal="center" vertical="center"/>
      <protection locked="0"/>
    </xf>
    <xf numFmtId="3" fontId="10" fillId="0" borderId="6" xfId="15" applyNumberFormat="1" applyFont="1" applyBorder="1" applyAlignment="1" applyProtection="1">
      <alignment horizontal="right" vertical="center"/>
      <protection locked="0"/>
    </xf>
    <xf numFmtId="3" fontId="10" fillId="0" borderId="8" xfId="15" applyNumberFormat="1" applyFont="1" applyBorder="1" applyAlignment="1" applyProtection="1">
      <alignment vertical="center"/>
      <protection hidden="1"/>
    </xf>
    <xf numFmtId="176" fontId="9" fillId="0" borderId="33" xfId="15" applyNumberFormat="1" applyFont="1" applyBorder="1" applyAlignment="1" applyProtection="1">
      <alignment horizontal="center" vertical="center"/>
      <protection locked="0"/>
    </xf>
    <xf numFmtId="3" fontId="46" fillId="0" borderId="1" xfId="15" applyNumberFormat="1" applyFont="1" applyBorder="1" applyAlignment="1" applyProtection="1">
      <alignment horizontal="center" vertical="center"/>
      <protection hidden="1"/>
    </xf>
    <xf numFmtId="4" fontId="46" fillId="0" borderId="1" xfId="15" applyNumberFormat="1" applyFont="1" applyBorder="1" applyAlignment="1" applyProtection="1">
      <alignment horizontal="center" vertical="center"/>
      <protection hidden="1"/>
    </xf>
    <xf numFmtId="44" fontId="46" fillId="0" borderId="24" xfId="16" applyFont="1" applyBorder="1" applyAlignment="1" applyProtection="1">
      <alignment vertical="center"/>
      <protection hidden="1"/>
    </xf>
    <xf numFmtId="3" fontId="46" fillId="0" borderId="25" xfId="15" applyNumberFormat="1" applyFont="1" applyBorder="1" applyAlignment="1" applyProtection="1">
      <alignment horizontal="center" vertical="center"/>
      <protection locked="0"/>
    </xf>
    <xf numFmtId="4" fontId="46" fillId="0" borderId="1" xfId="15" applyNumberFormat="1" applyFont="1" applyBorder="1" applyAlignment="1" applyProtection="1">
      <alignment horizontal="center" vertical="center"/>
      <protection locked="0"/>
    </xf>
    <xf numFmtId="169" fontId="46" fillId="0" borderId="1" xfId="16" applyNumberFormat="1" applyFont="1" applyBorder="1" applyAlignment="1" applyProtection="1">
      <alignment horizontal="center" vertical="center"/>
      <protection locked="0"/>
    </xf>
    <xf numFmtId="3" fontId="46" fillId="0" borderId="1" xfId="15" applyNumberFormat="1" applyFont="1" applyBorder="1" applyAlignment="1" applyProtection="1">
      <alignment vertical="center"/>
      <protection hidden="1"/>
    </xf>
    <xf numFmtId="178" fontId="9" fillId="0" borderId="34" xfId="15" applyNumberFormat="1" applyFont="1" applyBorder="1" applyAlignment="1" applyProtection="1">
      <alignment horizontal="center" vertical="center"/>
      <protection locked="0"/>
    </xf>
    <xf numFmtId="0" fontId="9" fillId="0" borderId="84" xfId="15" applyFont="1" applyBorder="1" applyAlignment="1" applyProtection="1">
      <alignment horizontal="center" vertical="center"/>
      <protection hidden="1"/>
    </xf>
    <xf numFmtId="0" fontId="20" fillId="0" borderId="83" xfId="15" applyFont="1" applyBorder="1" applyAlignment="1" applyProtection="1">
      <alignment horizontal="center" vertical="center"/>
      <protection hidden="1"/>
    </xf>
    <xf numFmtId="3" fontId="9" fillId="0" borderId="69" xfId="15" applyNumberFormat="1" applyFont="1" applyBorder="1" applyAlignment="1" applyProtection="1">
      <alignment vertical="center"/>
      <protection hidden="1"/>
    </xf>
    <xf numFmtId="44" fontId="9" fillId="0" borderId="72" xfId="16" applyFont="1" applyBorder="1" applyAlignment="1" applyProtection="1">
      <alignment vertical="center"/>
      <protection hidden="1"/>
    </xf>
    <xf numFmtId="3" fontId="9" fillId="0" borderId="73" xfId="15" applyNumberFormat="1" applyFont="1" applyBorder="1" applyAlignment="1" applyProtection="1">
      <alignment horizontal="center" vertical="center"/>
      <protection locked="0"/>
    </xf>
    <xf numFmtId="4" fontId="9" fillId="0" borderId="69" xfId="15" applyNumberFormat="1" applyFont="1" applyBorder="1" applyAlignment="1" applyProtection="1">
      <alignment horizontal="center" vertical="center"/>
      <protection locked="0"/>
    </xf>
    <xf numFmtId="44" fontId="9" fillId="0" borderId="69" xfId="16" applyFont="1" applyBorder="1" applyAlignment="1" applyProtection="1">
      <alignment horizontal="center" vertical="center"/>
      <protection locked="0"/>
    </xf>
    <xf numFmtId="44" fontId="9" fillId="0" borderId="74" xfId="16" applyFont="1" applyBorder="1" applyAlignment="1" applyProtection="1">
      <alignment horizontal="center" vertical="center"/>
      <protection hidden="1"/>
    </xf>
    <xf numFmtId="0" fontId="9" fillId="0" borderId="83" xfId="15" applyFont="1" applyBorder="1" applyAlignment="1" applyProtection="1">
      <alignment vertical="center"/>
      <protection hidden="1"/>
    </xf>
    <xf numFmtId="179" fontId="35" fillId="0" borderId="59" xfId="12" applyNumberFormat="1" applyFont="1" applyBorder="1" applyAlignment="1" applyProtection="1">
      <alignment horizontal="right"/>
      <protection hidden="1"/>
    </xf>
    <xf numFmtId="44" fontId="10" fillId="19" borderId="74" xfId="16" applyFont="1" applyFill="1" applyBorder="1" applyAlignment="1" applyProtection="1">
      <alignment horizontal="center" vertical="center"/>
      <protection hidden="1"/>
    </xf>
    <xf numFmtId="44" fontId="10" fillId="19" borderId="80" xfId="16" applyFont="1" applyFill="1" applyBorder="1" applyAlignment="1" applyProtection="1">
      <alignment horizontal="center" vertical="center"/>
      <protection hidden="1"/>
    </xf>
    <xf numFmtId="3" fontId="9" fillId="5" borderId="33" xfId="15" applyNumberFormat="1" applyFont="1" applyFill="1" applyBorder="1" applyAlignment="1" applyProtection="1">
      <alignment horizontal="center" vertical="center"/>
      <protection hidden="1"/>
    </xf>
    <xf numFmtId="3" fontId="9" fillId="5" borderId="1" xfId="15" applyNumberFormat="1" applyFont="1" applyFill="1" applyBorder="1" applyAlignment="1" applyProtection="1">
      <alignment horizontal="center" vertical="center"/>
      <protection hidden="1"/>
    </xf>
    <xf numFmtId="3" fontId="46" fillId="5" borderId="1" xfId="15" applyNumberFormat="1" applyFont="1" applyFill="1" applyBorder="1" applyAlignment="1" applyProtection="1">
      <alignment horizontal="center" vertical="center"/>
      <protection hidden="1"/>
    </xf>
    <xf numFmtId="3" fontId="9" fillId="5" borderId="1" xfId="16" applyNumberFormat="1" applyFont="1" applyFill="1" applyBorder="1" applyAlignment="1" applyProtection="1">
      <alignment horizontal="center" vertical="center"/>
      <protection hidden="1"/>
    </xf>
    <xf numFmtId="3" fontId="11" fillId="5" borderId="1" xfId="15" applyNumberFormat="1" applyFont="1" applyFill="1" applyBorder="1" applyAlignment="1" applyProtection="1">
      <alignment horizontal="center" vertical="center"/>
      <protection hidden="1"/>
    </xf>
    <xf numFmtId="3" fontId="18" fillId="5" borderId="1" xfId="16" applyNumberFormat="1" applyFont="1" applyFill="1" applyBorder="1" applyAlignment="1" applyProtection="1">
      <alignment horizontal="center" vertical="center"/>
      <protection hidden="1"/>
    </xf>
    <xf numFmtId="180" fontId="27" fillId="17" borderId="1" xfId="9" applyNumberFormat="1" applyFont="1" applyFill="1" applyBorder="1" applyAlignment="1">
      <alignment horizontal="center" vertical="center"/>
    </xf>
    <xf numFmtId="181" fontId="28" fillId="24" borderId="1" xfId="9" applyNumberFormat="1" applyFont="1" applyFill="1" applyBorder="1" applyAlignment="1">
      <alignment horizontal="center" vertical="center" wrapText="1"/>
    </xf>
    <xf numFmtId="170" fontId="28" fillId="24" borderId="1" xfId="9" applyNumberFormat="1" applyFont="1" applyFill="1" applyBorder="1" applyAlignment="1">
      <alignment horizontal="center" vertical="center"/>
    </xf>
    <xf numFmtId="44" fontId="27" fillId="24" borderId="1" xfId="10" applyFont="1" applyFill="1" applyBorder="1" applyAlignment="1">
      <alignment horizontal="center" vertical="center"/>
    </xf>
    <xf numFmtId="170" fontId="27" fillId="24" borderId="1" xfId="9" applyNumberFormat="1" applyFont="1" applyFill="1" applyBorder="1" applyAlignment="1">
      <alignment horizontal="center" vertical="center"/>
    </xf>
    <xf numFmtId="0" fontId="25" fillId="18" borderId="0" xfId="2" applyFont="1" applyFill="1" applyAlignment="1">
      <alignment horizontal="center" vertical="center"/>
    </xf>
    <xf numFmtId="0" fontId="26" fillId="2" borderId="0" xfId="2" applyFont="1" applyFill="1" applyAlignment="1">
      <alignment horizontal="center" vertical="center" wrapText="1"/>
    </xf>
    <xf numFmtId="44" fontId="30" fillId="18" borderId="0" xfId="10" applyFont="1" applyFill="1" applyAlignment="1">
      <alignment horizontal="center" vertical="center"/>
    </xf>
    <xf numFmtId="0" fontId="25" fillId="18" borderId="5" xfId="2" applyFont="1" applyFill="1" applyBorder="1" applyAlignment="1">
      <alignment vertical="center"/>
    </xf>
    <xf numFmtId="0" fontId="25" fillId="18" borderId="14" xfId="2" applyFont="1" applyFill="1" applyBorder="1" applyAlignment="1">
      <alignment vertical="center"/>
    </xf>
    <xf numFmtId="0" fontId="47" fillId="0" borderId="0" xfId="0" applyFont="1" applyAlignment="1">
      <alignment vertical="center"/>
    </xf>
    <xf numFmtId="0" fontId="48" fillId="0" borderId="0" xfId="0" applyFont="1" applyAlignment="1">
      <alignment horizontal="center" vertical="center"/>
    </xf>
    <xf numFmtId="0" fontId="48" fillId="0" borderId="0" xfId="0" applyFont="1" applyAlignment="1">
      <alignment vertical="center"/>
    </xf>
    <xf numFmtId="0" fontId="49" fillId="25" borderId="90" xfId="0" applyFont="1" applyFill="1" applyBorder="1" applyAlignment="1">
      <alignment vertical="center"/>
    </xf>
    <xf numFmtId="0" fontId="49" fillId="25" borderId="91" xfId="0" applyFont="1" applyFill="1" applyBorder="1" applyAlignment="1">
      <alignment horizontal="center" vertical="center" wrapText="1"/>
    </xf>
    <xf numFmtId="0" fontId="49" fillId="25" borderId="92" xfId="0" applyFont="1" applyFill="1" applyBorder="1" applyAlignment="1">
      <alignment horizontal="center" vertical="center" wrapText="1"/>
    </xf>
    <xf numFmtId="0" fontId="48" fillId="26" borderId="93" xfId="0" applyFont="1" applyFill="1" applyBorder="1" applyAlignment="1">
      <alignment vertical="center"/>
    </xf>
    <xf numFmtId="0" fontId="48" fillId="26" borderId="95" xfId="0" applyFont="1" applyFill="1" applyBorder="1" applyAlignment="1">
      <alignment horizontal="center" vertical="center"/>
    </xf>
    <xf numFmtId="0" fontId="52" fillId="0" borderId="0" xfId="0" applyFont="1" applyAlignment="1">
      <alignment vertical="center"/>
    </xf>
    <xf numFmtId="0" fontId="48" fillId="0" borderId="0" xfId="0" applyFont="1" applyAlignment="1">
      <alignment vertical="top"/>
    </xf>
    <xf numFmtId="0" fontId="48" fillId="0" borderId="0" xfId="0" applyFont="1" applyAlignment="1">
      <alignment horizontal="center" vertical="top"/>
    </xf>
    <xf numFmtId="0" fontId="35" fillId="2" borderId="49" xfId="2" quotePrefix="1" applyFont="1" applyFill="1" applyBorder="1" applyAlignment="1" applyProtection="1">
      <alignment wrapText="1" shrinkToFit="1"/>
      <protection hidden="1"/>
    </xf>
    <xf numFmtId="0" fontId="42" fillId="6" borderId="49" xfId="2" applyFont="1" applyFill="1" applyBorder="1" applyAlignment="1" applyProtection="1">
      <alignment horizontal="left" vertical="top" wrapText="1"/>
      <protection locked="0"/>
    </xf>
    <xf numFmtId="0" fontId="42" fillId="6" borderId="14" xfId="2" applyFont="1" applyFill="1" applyBorder="1" applyAlignment="1" applyProtection="1">
      <alignment horizontal="left" vertical="top" wrapText="1"/>
      <protection locked="0"/>
    </xf>
    <xf numFmtId="0" fontId="42" fillId="6" borderId="23" xfId="2" applyFont="1" applyFill="1" applyBorder="1" applyAlignment="1" applyProtection="1">
      <alignment horizontal="left" vertical="top" wrapText="1"/>
      <protection locked="0"/>
    </xf>
    <xf numFmtId="0" fontId="54" fillId="0" borderId="0" xfId="2" applyFont="1" applyProtection="1">
      <protection hidden="1"/>
    </xf>
    <xf numFmtId="0" fontId="55" fillId="0" borderId="0" xfId="2" applyFont="1" applyProtection="1">
      <protection hidden="1"/>
    </xf>
    <xf numFmtId="0" fontId="35" fillId="2" borderId="49" xfId="2" applyFont="1" applyFill="1" applyBorder="1" applyAlignment="1" applyProtection="1">
      <alignment horizontal="left"/>
      <protection hidden="1"/>
    </xf>
    <xf numFmtId="0" fontId="35" fillId="2" borderId="4" xfId="2" applyFont="1" applyFill="1" applyBorder="1" applyAlignment="1" applyProtection="1">
      <alignment horizontal="left"/>
      <protection hidden="1"/>
    </xf>
    <xf numFmtId="0" fontId="35" fillId="2" borderId="25" xfId="2" applyFont="1" applyFill="1" applyBorder="1" applyAlignment="1" applyProtection="1">
      <alignment horizontal="left"/>
      <protection hidden="1"/>
    </xf>
    <xf numFmtId="0" fontId="35" fillId="2" borderId="1" xfId="2" applyFont="1" applyFill="1" applyBorder="1" applyAlignment="1" applyProtection="1">
      <alignment horizontal="left"/>
      <protection hidden="1"/>
    </xf>
    <xf numFmtId="183" fontId="27" fillId="24" borderId="1" xfId="10" applyNumberFormat="1" applyFont="1" applyFill="1" applyBorder="1" applyAlignment="1">
      <alignment horizontal="center" vertical="center"/>
    </xf>
    <xf numFmtId="3" fontId="9" fillId="0" borderId="1" xfId="2" quotePrefix="1" applyNumberFormat="1" applyFont="1" applyBorder="1" applyProtection="1">
      <protection hidden="1"/>
    </xf>
    <xf numFmtId="44" fontId="9" fillId="0" borderId="1" xfId="2" quotePrefix="1" applyNumberFormat="1" applyFont="1" applyBorder="1" applyProtection="1">
      <protection hidden="1"/>
    </xf>
    <xf numFmtId="44" fontId="9" fillId="0" borderId="1" xfId="10" quotePrefix="1" applyFont="1" applyBorder="1" applyProtection="1">
      <protection hidden="1"/>
    </xf>
    <xf numFmtId="44" fontId="10" fillId="8" borderId="1" xfId="10" applyFont="1" applyFill="1" applyBorder="1" applyProtection="1">
      <protection hidden="1"/>
    </xf>
    <xf numFmtId="182" fontId="35" fillId="0" borderId="57" xfId="12" applyNumberFormat="1" applyFont="1" applyBorder="1" applyAlignment="1" applyProtection="1">
      <alignment horizontal="right"/>
      <protection hidden="1"/>
    </xf>
    <xf numFmtId="0" fontId="56" fillId="0" borderId="0" xfId="2" applyFont="1" applyAlignment="1">
      <alignment horizontal="center"/>
    </xf>
    <xf numFmtId="0" fontId="57" fillId="0" borderId="0" xfId="0" applyFont="1" applyAlignment="1">
      <alignment horizontal="center"/>
    </xf>
    <xf numFmtId="0" fontId="35" fillId="2" borderId="62" xfId="2" applyFont="1" applyFill="1" applyBorder="1" applyAlignment="1" applyProtection="1">
      <alignment shrinkToFit="1"/>
      <protection hidden="1"/>
    </xf>
    <xf numFmtId="44" fontId="35" fillId="0" borderId="96" xfId="10" applyFont="1" applyBorder="1" applyAlignment="1" applyProtection="1">
      <alignment horizontal="right"/>
      <protection hidden="1"/>
    </xf>
    <xf numFmtId="44" fontId="35" fillId="19" borderId="96" xfId="10" applyFont="1" applyFill="1" applyBorder="1" applyAlignment="1" applyProtection="1">
      <alignment horizontal="right"/>
      <protection hidden="1"/>
    </xf>
    <xf numFmtId="9" fontId="9" fillId="0" borderId="1" xfId="2" quotePrefix="1" applyNumberFormat="1" applyFont="1" applyBorder="1" applyAlignment="1" applyProtection="1">
      <alignment horizontal="center"/>
      <protection hidden="1"/>
    </xf>
    <xf numFmtId="9" fontId="10" fillId="8" borderId="1" xfId="20" applyFont="1" applyFill="1" applyBorder="1" applyAlignment="1" applyProtection="1">
      <alignment horizontal="center"/>
      <protection hidden="1"/>
    </xf>
    <xf numFmtId="0" fontId="58" fillId="0" borderId="0" xfId="0" applyFont="1"/>
    <xf numFmtId="0" fontId="58" fillId="0" borderId="0" xfId="0" quotePrefix="1" applyFont="1"/>
    <xf numFmtId="0" fontId="21" fillId="0" borderId="0" xfId="0" applyFont="1"/>
    <xf numFmtId="0" fontId="48" fillId="0" borderId="0" xfId="0" applyFont="1"/>
    <xf numFmtId="0" fontId="52" fillId="0" borderId="0" xfId="0" applyFont="1"/>
    <xf numFmtId="0" fontId="52" fillId="0" borderId="0" xfId="0" applyFont="1" applyAlignment="1">
      <alignment horizontal="center"/>
    </xf>
    <xf numFmtId="0" fontId="48" fillId="0" borderId="0" xfId="0" quotePrefix="1" applyFont="1"/>
    <xf numFmtId="0" fontId="21" fillId="0" borderId="0" xfId="0" applyFont="1" applyAlignment="1">
      <alignment vertical="top" wrapText="1"/>
    </xf>
    <xf numFmtId="0" fontId="48" fillId="0" borderId="0" xfId="0" applyFont="1" applyAlignment="1">
      <alignment vertical="top" wrapText="1"/>
    </xf>
    <xf numFmtId="0" fontId="15" fillId="0" borderId="0" xfId="1" applyFont="1" applyAlignment="1">
      <alignment horizontal="justify" vertical="top"/>
    </xf>
    <xf numFmtId="0" fontId="15" fillId="0" borderId="0" xfId="1" applyFont="1" applyAlignment="1">
      <alignment horizontal="left" vertical="top" wrapText="1"/>
    </xf>
    <xf numFmtId="0" fontId="5" fillId="0" borderId="0" xfId="1" applyAlignment="1">
      <alignment vertical="top"/>
    </xf>
    <xf numFmtId="0" fontId="6" fillId="0" borderId="0" xfId="1" applyFont="1" applyAlignment="1">
      <alignment horizontal="justify" vertical="top"/>
    </xf>
    <xf numFmtId="0" fontId="60" fillId="0" borderId="0" xfId="1" applyFont="1" applyAlignment="1">
      <alignment horizontal="justify" vertical="top"/>
    </xf>
    <xf numFmtId="0" fontId="61" fillId="0" borderId="0" xfId="1" applyFont="1" applyAlignment="1">
      <alignment horizontal="justify" vertical="top" wrapText="1"/>
    </xf>
    <xf numFmtId="0" fontId="17" fillId="0" borderId="0" xfId="1" quotePrefix="1" applyFont="1" applyAlignment="1">
      <alignment horizontal="justify" vertical="top"/>
    </xf>
    <xf numFmtId="0" fontId="17" fillId="0" borderId="0" xfId="1" applyFont="1" applyAlignment="1">
      <alignment horizontal="justify" vertical="top"/>
    </xf>
    <xf numFmtId="0" fontId="29" fillId="0" borderId="0" xfId="1" quotePrefix="1" applyFont="1" applyAlignment="1">
      <alignment horizontal="justify" vertical="top"/>
    </xf>
    <xf numFmtId="1" fontId="13" fillId="7" borderId="0" xfId="15" applyNumberFormat="1" applyFont="1" applyFill="1" applyAlignment="1" applyProtection="1">
      <alignment horizontal="center" vertical="center"/>
      <protection locked="0"/>
    </xf>
    <xf numFmtId="185" fontId="35" fillId="0" borderId="0" xfId="2" applyNumberFormat="1" applyFont="1" applyProtection="1">
      <protection hidden="1"/>
    </xf>
    <xf numFmtId="0" fontId="65" fillId="0" borderId="0" xfId="0" applyFont="1" applyAlignment="1">
      <alignment vertical="center"/>
    </xf>
    <xf numFmtId="164" fontId="35" fillId="0" borderId="0" xfId="9" applyFont="1" applyProtection="1">
      <protection hidden="1"/>
    </xf>
    <xf numFmtId="0" fontId="35" fillId="2" borderId="58" xfId="2" applyFont="1" applyFill="1" applyBorder="1" applyAlignment="1" applyProtection="1">
      <alignment vertical="center" wrapText="1" shrinkToFit="1"/>
      <protection hidden="1"/>
    </xf>
    <xf numFmtId="174" fontId="38" fillId="0" borderId="24" xfId="2" applyNumberFormat="1" applyFont="1" applyBorder="1" applyAlignment="1" applyProtection="1">
      <alignment horizontal="right"/>
      <protection hidden="1"/>
    </xf>
    <xf numFmtId="173" fontId="35" fillId="0" borderId="24" xfId="2" applyNumberFormat="1" applyFont="1" applyBorder="1" applyAlignment="1" applyProtection="1">
      <alignment horizontal="right"/>
      <protection hidden="1"/>
    </xf>
    <xf numFmtId="173" fontId="35" fillId="0" borderId="32" xfId="2" applyNumberFormat="1" applyFont="1" applyBorder="1" applyAlignment="1" applyProtection="1">
      <alignment horizontal="right"/>
      <protection hidden="1"/>
    </xf>
    <xf numFmtId="165" fontId="35" fillId="0" borderId="24" xfId="2" applyNumberFormat="1" applyFont="1" applyBorder="1" applyAlignment="1" applyProtection="1">
      <alignment horizontal="right"/>
      <protection hidden="1"/>
    </xf>
    <xf numFmtId="165" fontId="38" fillId="0" borderId="24" xfId="2" applyNumberFormat="1" applyFont="1" applyBorder="1" applyAlignment="1" applyProtection="1">
      <alignment horizontal="right"/>
      <protection hidden="1"/>
    </xf>
    <xf numFmtId="10" fontId="35" fillId="0" borderId="24" xfId="13" applyNumberFormat="1" applyFont="1" applyBorder="1" applyAlignment="1" applyProtection="1">
      <alignment horizontal="right"/>
      <protection hidden="1"/>
    </xf>
    <xf numFmtId="0" fontId="35" fillId="5" borderId="1" xfId="2" applyFont="1" applyFill="1" applyBorder="1" applyProtection="1">
      <protection hidden="1"/>
    </xf>
    <xf numFmtId="0" fontId="35" fillId="2" borderId="25" xfId="2" applyFont="1" applyFill="1" applyBorder="1" applyProtection="1">
      <protection hidden="1"/>
    </xf>
    <xf numFmtId="0" fontId="35" fillId="2" borderId="1" xfId="2" applyFont="1" applyFill="1" applyBorder="1" applyProtection="1">
      <protection hidden="1"/>
    </xf>
    <xf numFmtId="167" fontId="35" fillId="0" borderId="24" xfId="3" applyNumberFormat="1" applyFont="1" applyBorder="1" applyAlignment="1" applyProtection="1">
      <alignment horizontal="right"/>
      <protection hidden="1"/>
    </xf>
    <xf numFmtId="167" fontId="35" fillId="0" borderId="2" xfId="3" applyNumberFormat="1" applyFont="1" applyBorder="1" applyAlignment="1" applyProtection="1">
      <alignment horizontal="right"/>
      <protection hidden="1"/>
    </xf>
    <xf numFmtId="9" fontId="9" fillId="0" borderId="24" xfId="4" applyFont="1" applyBorder="1" applyAlignment="1" applyProtection="1">
      <alignment horizontal="right"/>
      <protection hidden="1"/>
    </xf>
    <xf numFmtId="44" fontId="9" fillId="0" borderId="2" xfId="3" applyFont="1" applyBorder="1" applyAlignment="1" applyProtection="1">
      <alignment horizontal="right"/>
      <protection hidden="1"/>
    </xf>
    <xf numFmtId="167" fontId="44" fillId="5" borderId="35" xfId="3" applyNumberFormat="1" applyFont="1" applyFill="1" applyBorder="1" applyAlignment="1" applyProtection="1">
      <alignment horizontal="left"/>
      <protection locked="0"/>
    </xf>
    <xf numFmtId="182" fontId="8" fillId="0" borderId="0" xfId="2" applyNumberFormat="1" applyAlignment="1">
      <alignment horizontal="center" vertical="center"/>
    </xf>
    <xf numFmtId="170" fontId="8" fillId="0" borderId="0" xfId="2" applyNumberFormat="1" applyAlignment="1">
      <alignment horizontal="center" vertical="center"/>
    </xf>
    <xf numFmtId="44" fontId="8" fillId="0" borderId="0" xfId="10" applyFont="1" applyAlignment="1">
      <alignment horizontal="center" vertical="center"/>
    </xf>
    <xf numFmtId="2" fontId="0" fillId="0" borderId="0" xfId="0" applyNumberFormat="1"/>
    <xf numFmtId="0" fontId="59" fillId="0" borderId="0" xfId="0" applyFont="1" applyAlignment="1">
      <alignment horizontal="justify" vertical="center"/>
    </xf>
    <xf numFmtId="44" fontId="9" fillId="0" borderId="1" xfId="2" quotePrefix="1" applyNumberFormat="1" applyFont="1" applyBorder="1" applyAlignment="1" applyProtection="1">
      <alignment horizontal="center"/>
      <protection hidden="1"/>
    </xf>
    <xf numFmtId="0" fontId="11" fillId="10" borderId="44" xfId="15" applyFont="1" applyFill="1" applyBorder="1" applyAlignment="1" applyProtection="1">
      <alignment horizontal="center" vertical="center" wrapText="1"/>
      <protection hidden="1"/>
    </xf>
    <xf numFmtId="174" fontId="38" fillId="5" borderId="24" xfId="2" applyNumberFormat="1" applyFont="1" applyFill="1" applyBorder="1" applyAlignment="1" applyProtection="1">
      <alignment horizontal="right"/>
      <protection hidden="1"/>
    </xf>
    <xf numFmtId="0" fontId="66" fillId="5" borderId="0" xfId="0" applyFont="1" applyFill="1"/>
    <xf numFmtId="0" fontId="38" fillId="0" borderId="0" xfId="2" applyFont="1" applyAlignment="1" applyProtection="1">
      <alignment horizontal="center"/>
      <protection hidden="1"/>
    </xf>
    <xf numFmtId="170" fontId="35" fillId="0" borderId="0" xfId="9" applyNumberFormat="1" applyFont="1" applyProtection="1">
      <protection hidden="1"/>
    </xf>
    <xf numFmtId="0" fontId="35" fillId="0" borderId="1" xfId="2" applyFont="1" applyBorder="1" applyProtection="1">
      <protection hidden="1"/>
    </xf>
    <xf numFmtId="0" fontId="35" fillId="0" borderId="0" xfId="2" applyFont="1" applyAlignment="1" applyProtection="1">
      <alignment horizontal="center"/>
      <protection hidden="1"/>
    </xf>
    <xf numFmtId="0" fontId="11" fillId="10" borderId="30" xfId="15" applyFont="1" applyFill="1" applyBorder="1" applyAlignment="1" applyProtection="1">
      <alignment horizontal="center" vertical="center" wrapText="1"/>
      <protection hidden="1"/>
    </xf>
    <xf numFmtId="9" fontId="9" fillId="7" borderId="0" xfId="15" applyNumberFormat="1" applyFont="1" applyFill="1" applyAlignment="1" applyProtection="1">
      <alignment horizontal="center" vertical="center"/>
      <protection hidden="1"/>
    </xf>
    <xf numFmtId="0" fontId="52" fillId="0" borderId="1" xfId="0" applyFont="1" applyBorder="1" applyAlignment="1">
      <alignment horizontal="center"/>
    </xf>
    <xf numFmtId="0" fontId="48" fillId="0" borderId="1" xfId="0" applyFont="1" applyBorder="1"/>
    <xf numFmtId="0" fontId="67" fillId="0" borderId="1" xfId="0" applyFont="1" applyBorder="1"/>
    <xf numFmtId="0" fontId="35" fillId="2" borderId="43" xfId="2" applyFont="1" applyFill="1" applyBorder="1" applyAlignment="1" applyProtection="1">
      <alignment horizontal="left"/>
      <protection hidden="1"/>
    </xf>
    <xf numFmtId="0" fontId="35" fillId="2" borderId="42" xfId="2" applyFont="1" applyFill="1" applyBorder="1" applyAlignment="1" applyProtection="1">
      <alignment horizontal="left"/>
      <protection hidden="1"/>
    </xf>
    <xf numFmtId="0" fontId="19" fillId="9" borderId="33" xfId="15" applyFont="1" applyFill="1" applyBorder="1" applyAlignment="1">
      <alignment horizontal="center" vertical="center" wrapText="1"/>
    </xf>
    <xf numFmtId="173" fontId="44" fillId="0" borderId="32" xfId="2" applyNumberFormat="1" applyFont="1" applyBorder="1" applyAlignment="1" applyProtection="1">
      <alignment horizontal="right"/>
      <protection hidden="1"/>
    </xf>
    <xf numFmtId="44" fontId="18" fillId="0" borderId="44" xfId="15" applyNumberFormat="1" applyFont="1" applyBorder="1" applyAlignment="1">
      <alignment horizontal="center" vertical="center" wrapText="1"/>
    </xf>
    <xf numFmtId="44" fontId="18" fillId="0" borderId="13" xfId="15" applyNumberFormat="1" applyFont="1" applyBorder="1" applyAlignment="1">
      <alignment horizontal="center" vertical="center" wrapText="1"/>
    </xf>
    <xf numFmtId="0" fontId="52" fillId="28" borderId="1" xfId="0" applyFont="1" applyFill="1" applyBorder="1" applyAlignment="1">
      <alignment horizontal="center"/>
    </xf>
    <xf numFmtId="0" fontId="48" fillId="28" borderId="1" xfId="0" applyFont="1" applyFill="1" applyBorder="1"/>
    <xf numFmtId="0" fontId="67" fillId="28" borderId="1" xfId="0" applyFont="1" applyFill="1" applyBorder="1"/>
    <xf numFmtId="0" fontId="49" fillId="27" borderId="1" xfId="0" applyFont="1" applyFill="1" applyBorder="1" applyAlignment="1">
      <alignment horizontal="center"/>
    </xf>
    <xf numFmtId="0" fontId="49" fillId="27" borderId="1" xfId="0" applyFont="1" applyFill="1" applyBorder="1"/>
    <xf numFmtId="0" fontId="48" fillId="28" borderId="1" xfId="0" applyFont="1" applyFill="1" applyBorder="1" applyAlignment="1">
      <alignment wrapText="1"/>
    </xf>
    <xf numFmtId="0" fontId="48" fillId="0" borderId="1" xfId="0" applyFont="1" applyBorder="1" applyAlignment="1">
      <alignment wrapText="1"/>
    </xf>
    <xf numFmtId="3" fontId="9" fillId="0" borderId="1" xfId="2" quotePrefix="1" applyNumberFormat="1" applyFont="1" applyFill="1" applyBorder="1" applyProtection="1">
      <protection hidden="1"/>
    </xf>
    <xf numFmtId="173" fontId="35" fillId="0" borderId="55" xfId="2" applyNumberFormat="1" applyFont="1" applyFill="1" applyBorder="1" applyAlignment="1" applyProtection="1">
      <alignment horizontal="right"/>
      <protection hidden="1"/>
    </xf>
    <xf numFmtId="0" fontId="35" fillId="0" borderId="0" xfId="2" applyFont="1" applyFill="1" applyProtection="1">
      <protection hidden="1"/>
    </xf>
    <xf numFmtId="0" fontId="68" fillId="0" borderId="0" xfId="0" applyFont="1"/>
    <xf numFmtId="0" fontId="48" fillId="26" borderId="90" xfId="0" applyFont="1" applyFill="1" applyBorder="1" applyAlignment="1">
      <alignment vertical="center"/>
    </xf>
    <xf numFmtId="0" fontId="48" fillId="26" borderId="91" xfId="0" applyFont="1" applyFill="1" applyBorder="1" applyAlignment="1">
      <alignment horizontal="center" vertical="center"/>
    </xf>
    <xf numFmtId="0" fontId="48" fillId="26" borderId="92" xfId="0" applyFont="1" applyFill="1" applyBorder="1" applyAlignment="1">
      <alignment vertical="center" wrapText="1"/>
    </xf>
    <xf numFmtId="0" fontId="48" fillId="0" borderId="90" xfId="0" applyFont="1" applyBorder="1" applyAlignment="1">
      <alignment vertical="center"/>
    </xf>
    <xf numFmtId="0" fontId="48" fillId="0" borderId="91" xfId="0" applyFont="1" applyBorder="1" applyAlignment="1">
      <alignment horizontal="center" vertical="center"/>
    </xf>
    <xf numFmtId="0" fontId="48" fillId="0" borderId="92" xfId="0" applyFont="1" applyBorder="1" applyAlignment="1">
      <alignment vertical="center" wrapText="1"/>
    </xf>
    <xf numFmtId="0" fontId="48" fillId="0" borderId="93" xfId="0" applyFont="1" applyBorder="1" applyAlignment="1">
      <alignment vertical="center"/>
    </xf>
    <xf numFmtId="0" fontId="48" fillId="0" borderId="94" xfId="0" applyFont="1" applyBorder="1" applyAlignment="1">
      <alignment horizontal="center" vertical="center"/>
    </xf>
    <xf numFmtId="0" fontId="48" fillId="0" borderId="95" xfId="0" applyFont="1" applyBorder="1" applyAlignment="1">
      <alignment vertical="center" wrapText="1"/>
    </xf>
    <xf numFmtId="170" fontId="69" fillId="17" borderId="1" xfId="9" applyNumberFormat="1" applyFont="1" applyFill="1" applyBorder="1" applyAlignment="1">
      <alignment horizontal="center" vertical="center"/>
    </xf>
    <xf numFmtId="170" fontId="69" fillId="24" borderId="1" xfId="9" applyNumberFormat="1" applyFont="1" applyFill="1" applyBorder="1" applyAlignment="1">
      <alignment horizontal="center" vertical="center"/>
    </xf>
    <xf numFmtId="0" fontId="48" fillId="0" borderId="0" xfId="0" applyFont="1" applyBorder="1" applyAlignment="1">
      <alignment vertical="center"/>
    </xf>
    <xf numFmtId="0" fontId="48" fillId="0" borderId="0" xfId="0" applyFont="1" applyBorder="1" applyAlignment="1">
      <alignment horizontal="center" vertical="center"/>
    </xf>
    <xf numFmtId="0" fontId="48" fillId="0" borderId="0" xfId="0" applyFont="1" applyBorder="1" applyAlignment="1">
      <alignment vertical="center" wrapText="1"/>
    </xf>
    <xf numFmtId="1" fontId="13" fillId="7" borderId="0" xfId="15" applyNumberFormat="1" applyFont="1" applyFill="1" applyBorder="1" applyAlignment="1" applyProtection="1">
      <alignment horizontal="center" vertical="center"/>
      <protection locked="0"/>
    </xf>
    <xf numFmtId="0" fontId="63" fillId="0" borderId="0" xfId="0" applyFont="1" applyAlignment="1">
      <alignment horizontal="center"/>
    </xf>
    <xf numFmtId="0" fontId="0" fillId="0" borderId="0" xfId="0" applyAlignment="1">
      <alignment horizontal="center"/>
    </xf>
    <xf numFmtId="0" fontId="23" fillId="0" borderId="0" xfId="0" applyFont="1" applyAlignment="1">
      <alignment horizontal="center"/>
    </xf>
    <xf numFmtId="0" fontId="22" fillId="0" borderId="0" xfId="0" applyFont="1" applyAlignment="1">
      <alignment horizontal="center"/>
    </xf>
    <xf numFmtId="0" fontId="0" fillId="0" borderId="0" xfId="0" applyAlignment="1">
      <alignment horizontal="center" wrapText="1"/>
    </xf>
    <xf numFmtId="0" fontId="48" fillId="0" borderId="0" xfId="0" quotePrefix="1" applyFont="1" applyAlignment="1">
      <alignment horizontal="left" vertical="top"/>
    </xf>
    <xf numFmtId="0" fontId="25" fillId="2" borderId="5" xfId="2" applyFont="1" applyFill="1" applyBorder="1" applyAlignment="1">
      <alignment horizontal="center" vertical="center"/>
    </xf>
    <xf numFmtId="0" fontId="25" fillId="2" borderId="14" xfId="2" applyFont="1" applyFill="1" applyBorder="1" applyAlignment="1">
      <alignment horizontal="center" vertical="center"/>
    </xf>
    <xf numFmtId="0" fontId="25" fillId="2" borderId="4" xfId="2" applyFont="1" applyFill="1" applyBorder="1" applyAlignment="1">
      <alignment horizontal="center" vertical="center"/>
    </xf>
    <xf numFmtId="0" fontId="25" fillId="24" borderId="5" xfId="2" applyFont="1" applyFill="1" applyBorder="1" applyAlignment="1">
      <alignment horizontal="center" vertical="center"/>
    </xf>
    <xf numFmtId="0" fontId="25" fillId="24" borderId="14" xfId="2" applyFont="1" applyFill="1" applyBorder="1" applyAlignment="1">
      <alignment horizontal="center" vertical="center"/>
    </xf>
    <xf numFmtId="0" fontId="25" fillId="24" borderId="4" xfId="2" applyFont="1" applyFill="1" applyBorder="1" applyAlignment="1">
      <alignment horizontal="center" vertical="center"/>
    </xf>
    <xf numFmtId="0" fontId="25" fillId="17" borderId="5" xfId="2" applyFont="1" applyFill="1" applyBorder="1" applyAlignment="1">
      <alignment horizontal="center" vertical="center"/>
    </xf>
    <xf numFmtId="0" fontId="25" fillId="17" borderId="14" xfId="2" applyFont="1" applyFill="1" applyBorder="1" applyAlignment="1">
      <alignment horizontal="center" vertical="center"/>
    </xf>
    <xf numFmtId="0" fontId="25" fillId="17" borderId="4" xfId="2" applyFont="1" applyFill="1" applyBorder="1" applyAlignment="1">
      <alignment horizontal="center" vertical="center"/>
    </xf>
    <xf numFmtId="0" fontId="52" fillId="0" borderId="0" xfId="0" applyFont="1" applyAlignment="1">
      <alignment horizontal="left" vertical="center" wrapText="1"/>
    </xf>
    <xf numFmtId="0" fontId="48" fillId="0" borderId="0" xfId="0" applyFont="1" applyAlignment="1">
      <alignment horizontal="left" vertical="top" wrapText="1"/>
    </xf>
    <xf numFmtId="0" fontId="48" fillId="0" borderId="0" xfId="0" applyFont="1" applyAlignment="1">
      <alignment horizontal="left" vertical="center" wrapText="1"/>
    </xf>
    <xf numFmtId="0" fontId="7" fillId="2" borderId="1" xfId="2" applyFont="1" applyFill="1" applyBorder="1" applyAlignment="1" applyProtection="1">
      <alignment horizontal="left"/>
      <protection hidden="1"/>
    </xf>
    <xf numFmtId="0" fontId="10" fillId="2" borderId="5" xfId="2" applyFont="1" applyFill="1" applyBorder="1" applyAlignment="1" applyProtection="1">
      <alignment horizontal="center"/>
      <protection hidden="1"/>
    </xf>
    <xf numFmtId="0" fontId="10" fillId="2" borderId="4" xfId="2" applyFont="1" applyFill="1" applyBorder="1" applyAlignment="1" applyProtection="1">
      <alignment horizontal="center"/>
      <protection hidden="1"/>
    </xf>
    <xf numFmtId="0" fontId="14" fillId="0" borderId="1" xfId="2" applyFont="1" applyBorder="1" applyAlignment="1" applyProtection="1">
      <alignment horizontal="left"/>
      <protection hidden="1"/>
    </xf>
    <xf numFmtId="0" fontId="9" fillId="0" borderId="1" xfId="2" applyFont="1" applyBorder="1" applyAlignment="1" applyProtection="1">
      <alignment horizontal="left"/>
      <protection hidden="1"/>
    </xf>
    <xf numFmtId="3" fontId="9" fillId="0" borderId="1" xfId="2" applyNumberFormat="1" applyFont="1" applyBorder="1" applyAlignment="1" applyProtection="1">
      <alignment horizontal="left"/>
      <protection hidden="1"/>
    </xf>
    <xf numFmtId="165" fontId="9" fillId="0" borderId="5" xfId="3" applyNumberFormat="1" applyFont="1" applyBorder="1" applyAlignment="1" applyProtection="1">
      <alignment horizontal="center" wrapText="1"/>
      <protection hidden="1"/>
    </xf>
    <xf numFmtId="165" fontId="9" fillId="0" borderId="14" xfId="3" applyNumberFormat="1" applyFont="1" applyBorder="1" applyAlignment="1" applyProtection="1">
      <alignment horizontal="center" wrapText="1"/>
      <protection hidden="1"/>
    </xf>
    <xf numFmtId="165" fontId="9" fillId="0" borderId="4" xfId="3" applyNumberFormat="1" applyFont="1" applyBorder="1" applyAlignment="1" applyProtection="1">
      <alignment horizontal="center" wrapText="1"/>
      <protection hidden="1"/>
    </xf>
    <xf numFmtId="0" fontId="9" fillId="2" borderId="1" xfId="2" applyFont="1" applyFill="1" applyBorder="1" applyAlignment="1" applyProtection="1">
      <alignment horizontal="left"/>
      <protection hidden="1"/>
    </xf>
    <xf numFmtId="0" fontId="10" fillId="0" borderId="40" xfId="2" applyFont="1" applyBorder="1" applyAlignment="1" applyProtection="1">
      <alignment horizontal="left"/>
      <protection hidden="1"/>
    </xf>
    <xf numFmtId="0" fontId="10" fillId="0" borderId="39" xfId="2" applyFont="1" applyBorder="1" applyAlignment="1" applyProtection="1">
      <alignment horizontal="left"/>
      <protection hidden="1"/>
    </xf>
    <xf numFmtId="0" fontId="10" fillId="0" borderId="3" xfId="2" applyFont="1" applyBorder="1" applyAlignment="1" applyProtection="1">
      <alignment horizontal="left"/>
      <protection hidden="1"/>
    </xf>
    <xf numFmtId="0" fontId="9" fillId="4" borderId="1" xfId="5" applyFont="1" applyFill="1" applyBorder="1" applyAlignment="1" applyProtection="1">
      <alignment horizontal="left"/>
      <protection hidden="1"/>
    </xf>
    <xf numFmtId="0" fontId="10" fillId="6" borderId="10" xfId="2" applyFont="1" applyFill="1" applyBorder="1" applyAlignment="1" applyProtection="1">
      <alignment horizontal="center"/>
      <protection locked="0"/>
    </xf>
    <xf numFmtId="0" fontId="10" fillId="6" borderId="0" xfId="2" applyFont="1" applyFill="1" applyAlignment="1" applyProtection="1">
      <alignment horizontal="center"/>
      <protection locked="0"/>
    </xf>
    <xf numFmtId="0" fontId="10" fillId="6" borderId="9" xfId="2" applyFont="1" applyFill="1" applyBorder="1" applyAlignment="1" applyProtection="1">
      <alignment horizontal="center"/>
      <protection locked="0"/>
    </xf>
    <xf numFmtId="0" fontId="10" fillId="6" borderId="8" xfId="2" applyFont="1" applyFill="1" applyBorder="1" applyAlignment="1" applyProtection="1">
      <alignment horizontal="center"/>
      <protection locked="0"/>
    </xf>
    <xf numFmtId="0" fontId="10" fillId="6" borderId="7" xfId="2" applyFont="1" applyFill="1" applyBorder="1" applyAlignment="1" applyProtection="1">
      <alignment horizontal="center"/>
      <protection locked="0"/>
    </xf>
    <xf numFmtId="0" fontId="10" fillId="6" borderId="6" xfId="2" applyFont="1" applyFill="1" applyBorder="1" applyAlignment="1" applyProtection="1">
      <alignment horizontal="center"/>
      <protection locked="0"/>
    </xf>
    <xf numFmtId="0" fontId="32" fillId="6" borderId="10" xfId="2" applyFont="1" applyFill="1" applyBorder="1" applyAlignment="1" applyProtection="1">
      <alignment horizontal="center"/>
      <protection locked="0"/>
    </xf>
    <xf numFmtId="0" fontId="32" fillId="6" borderId="0" xfId="2" applyFont="1" applyFill="1" applyAlignment="1" applyProtection="1">
      <alignment horizontal="center"/>
      <protection locked="0"/>
    </xf>
    <xf numFmtId="0" fontId="32" fillId="6" borderId="9" xfId="2" applyFont="1" applyFill="1" applyBorder="1" applyAlignment="1" applyProtection="1">
      <alignment horizontal="center"/>
      <protection locked="0"/>
    </xf>
    <xf numFmtId="0" fontId="15" fillId="0" borderId="0" xfId="2" applyFont="1" applyAlignment="1" applyProtection="1">
      <alignment horizontal="left"/>
      <protection hidden="1"/>
    </xf>
    <xf numFmtId="0" fontId="7" fillId="2" borderId="13" xfId="2" applyFont="1" applyFill="1" applyBorder="1" applyAlignment="1" applyProtection="1">
      <alignment horizontal="left"/>
      <protection hidden="1"/>
    </xf>
    <xf numFmtId="0" fontId="7" fillId="2" borderId="12" xfId="2" applyFont="1" applyFill="1" applyBorder="1" applyAlignment="1" applyProtection="1">
      <alignment horizontal="left"/>
      <protection hidden="1"/>
    </xf>
    <xf numFmtId="0" fontId="7" fillId="2" borderId="11" xfId="2" applyFont="1" applyFill="1" applyBorder="1" applyAlignment="1" applyProtection="1">
      <alignment horizontal="left"/>
      <protection hidden="1"/>
    </xf>
    <xf numFmtId="0" fontId="9" fillId="0" borderId="5" xfId="2" applyFont="1" applyBorder="1" applyAlignment="1" applyProtection="1">
      <alignment horizontal="center"/>
      <protection hidden="1"/>
    </xf>
    <xf numFmtId="0" fontId="9" fillId="0" borderId="4" xfId="2" applyFont="1" applyBorder="1" applyAlignment="1" applyProtection="1">
      <alignment horizontal="center"/>
      <protection hidden="1"/>
    </xf>
    <xf numFmtId="171" fontId="9" fillId="0" borderId="5" xfId="2" applyNumberFormat="1" applyFont="1" applyBorder="1" applyAlignment="1" applyProtection="1">
      <alignment horizontal="center"/>
      <protection hidden="1"/>
    </xf>
    <xf numFmtId="171" fontId="9" fillId="0" borderId="4" xfId="2" applyNumberFormat="1" applyFont="1" applyBorder="1" applyAlignment="1" applyProtection="1">
      <alignment horizontal="center"/>
      <protection hidden="1"/>
    </xf>
    <xf numFmtId="172" fontId="9" fillId="0" borderId="5" xfId="2" applyNumberFormat="1" applyFont="1" applyBorder="1" applyAlignment="1" applyProtection="1">
      <alignment horizontal="center"/>
      <protection hidden="1"/>
    </xf>
    <xf numFmtId="172" fontId="9" fillId="0" borderId="4" xfId="2" applyNumberFormat="1" applyFont="1" applyBorder="1" applyAlignment="1" applyProtection="1">
      <alignment horizontal="center"/>
      <protection hidden="1"/>
    </xf>
    <xf numFmtId="165" fontId="9" fillId="0" borderId="5" xfId="3" applyNumberFormat="1" applyFont="1" applyBorder="1" applyAlignment="1" applyProtection="1">
      <alignment horizontal="center"/>
      <protection hidden="1"/>
    </xf>
    <xf numFmtId="165" fontId="9" fillId="0" borderId="4" xfId="3" applyNumberFormat="1" applyFont="1" applyBorder="1" applyAlignment="1" applyProtection="1">
      <alignment horizontal="center"/>
      <protection hidden="1"/>
    </xf>
    <xf numFmtId="0" fontId="10" fillId="2" borderId="1" xfId="2" applyFont="1" applyFill="1" applyBorder="1" applyAlignment="1" applyProtection="1">
      <alignment horizontal="center"/>
      <protection hidden="1"/>
    </xf>
    <xf numFmtId="0" fontId="15" fillId="7" borderId="0" xfId="2" applyFont="1" applyFill="1" applyAlignment="1" applyProtection="1">
      <alignment horizontal="left"/>
      <protection hidden="1"/>
    </xf>
    <xf numFmtId="0" fontId="10" fillId="8" borderId="1" xfId="2" applyFont="1" applyFill="1" applyBorder="1" applyAlignment="1" applyProtection="1">
      <alignment horizontal="center" vertical="center" wrapText="1"/>
      <protection hidden="1"/>
    </xf>
    <xf numFmtId="0" fontId="19" fillId="8" borderId="1" xfId="2" applyFont="1" applyFill="1" applyBorder="1" applyAlignment="1" applyProtection="1">
      <alignment horizontal="center" vertical="center" wrapText="1"/>
      <protection hidden="1"/>
    </xf>
    <xf numFmtId="0" fontId="10" fillId="8" borderId="5" xfId="2" applyFont="1" applyFill="1" applyBorder="1" applyAlignment="1" applyProtection="1">
      <alignment horizontal="center" vertical="center" wrapText="1"/>
      <protection hidden="1"/>
    </xf>
    <xf numFmtId="0" fontId="10" fillId="8" borderId="4" xfId="2" applyFont="1" applyFill="1" applyBorder="1" applyAlignment="1" applyProtection="1">
      <alignment horizontal="center" vertical="center" wrapText="1"/>
      <protection hidden="1"/>
    </xf>
    <xf numFmtId="0" fontId="38" fillId="2" borderId="1" xfId="2" applyFont="1" applyFill="1" applyBorder="1" applyAlignment="1" applyProtection="1">
      <alignment horizontal="center"/>
      <protection hidden="1"/>
    </xf>
    <xf numFmtId="0" fontId="35" fillId="2" borderId="25" xfId="2" applyFont="1" applyFill="1" applyBorder="1" applyAlignment="1" applyProtection="1">
      <alignment horizontal="left"/>
      <protection hidden="1"/>
    </xf>
    <xf numFmtId="0" fontId="35" fillId="2" borderId="1" xfId="2" applyFont="1" applyFill="1" applyBorder="1" applyAlignment="1" applyProtection="1">
      <alignment horizontal="left"/>
      <protection hidden="1"/>
    </xf>
    <xf numFmtId="0" fontId="38" fillId="0" borderId="62" xfId="2" applyFont="1" applyBorder="1" applyProtection="1">
      <protection hidden="1"/>
    </xf>
    <xf numFmtId="0" fontId="38" fillId="0" borderId="63" xfId="2" applyFont="1" applyBorder="1" applyProtection="1">
      <protection hidden="1"/>
    </xf>
    <xf numFmtId="0" fontId="38" fillId="0" borderId="50" xfId="2" applyFont="1" applyBorder="1" applyAlignment="1" applyProtection="1">
      <alignment horizontal="left"/>
      <protection hidden="1"/>
    </xf>
    <xf numFmtId="0" fontId="38" fillId="0" borderId="64" xfId="2" applyFont="1" applyBorder="1" applyAlignment="1" applyProtection="1">
      <alignment horizontal="left"/>
      <protection hidden="1"/>
    </xf>
    <xf numFmtId="0" fontId="39" fillId="2" borderId="1" xfId="2" applyFont="1" applyFill="1" applyBorder="1" applyAlignment="1" applyProtection="1">
      <alignment horizontal="left"/>
      <protection hidden="1"/>
    </xf>
    <xf numFmtId="0" fontId="35" fillId="2" borderId="49" xfId="2" applyFont="1" applyFill="1" applyBorder="1" applyAlignment="1" applyProtection="1">
      <alignment horizontal="left"/>
      <protection hidden="1"/>
    </xf>
    <xf numFmtId="0" fontId="35" fillId="2" borderId="4" xfId="2" applyFont="1" applyFill="1" applyBorder="1" applyAlignment="1" applyProtection="1">
      <alignment horizontal="left"/>
      <protection hidden="1"/>
    </xf>
    <xf numFmtId="0" fontId="42" fillId="6" borderId="49" xfId="2" applyFont="1" applyFill="1" applyBorder="1" applyAlignment="1" applyProtection="1">
      <alignment horizontal="left" vertical="top" wrapText="1"/>
      <protection locked="0"/>
    </xf>
    <xf numFmtId="0" fontId="42" fillId="6" borderId="14" xfId="2" applyFont="1" applyFill="1" applyBorder="1" applyAlignment="1" applyProtection="1">
      <alignment horizontal="left" vertical="top" wrapText="1"/>
      <protection locked="0"/>
    </xf>
    <xf numFmtId="0" fontId="42" fillId="6" borderId="23" xfId="2" applyFont="1" applyFill="1" applyBorder="1" applyAlignment="1" applyProtection="1">
      <alignment horizontal="left" vertical="top" wrapText="1"/>
      <protection locked="0"/>
    </xf>
    <xf numFmtId="0" fontId="35" fillId="2" borderId="38" xfId="2" applyFont="1" applyFill="1" applyBorder="1" applyAlignment="1" applyProtection="1">
      <alignment horizontal="left"/>
      <protection hidden="1"/>
    </xf>
    <xf numFmtId="0" fontId="35" fillId="2" borderId="37" xfId="2" applyFont="1" applyFill="1" applyBorder="1" applyAlignment="1" applyProtection="1">
      <alignment horizontal="left"/>
      <protection hidden="1"/>
    </xf>
    <xf numFmtId="0" fontId="35" fillId="2" borderId="43" xfId="2" applyFont="1" applyFill="1" applyBorder="1" applyAlignment="1" applyProtection="1">
      <alignment horizontal="left"/>
      <protection hidden="1"/>
    </xf>
    <xf numFmtId="0" fontId="35" fillId="2" borderId="42" xfId="2" applyFont="1" applyFill="1" applyBorder="1" applyAlignment="1" applyProtection="1">
      <alignment horizontal="left"/>
      <protection hidden="1"/>
    </xf>
    <xf numFmtId="0" fontId="39" fillId="2" borderId="48" xfId="2" applyFont="1" applyFill="1" applyBorder="1" applyAlignment="1" applyProtection="1">
      <alignment horizontal="left"/>
      <protection hidden="1"/>
    </xf>
    <xf numFmtId="0" fontId="39" fillId="2" borderId="52" xfId="2" applyFont="1" applyFill="1" applyBorder="1" applyAlignment="1" applyProtection="1">
      <alignment horizontal="left"/>
      <protection hidden="1"/>
    </xf>
    <xf numFmtId="0" fontId="39" fillId="2" borderId="51" xfId="2" applyFont="1" applyFill="1" applyBorder="1" applyAlignment="1" applyProtection="1">
      <alignment horizontal="left"/>
      <protection hidden="1"/>
    </xf>
    <xf numFmtId="0" fontId="36" fillId="0" borderId="0" xfId="2" applyFont="1" applyAlignment="1" applyProtection="1">
      <alignment horizontal="left"/>
      <protection hidden="1"/>
    </xf>
    <xf numFmtId="0" fontId="40" fillId="0" borderId="1" xfId="2" applyFont="1" applyBorder="1" applyAlignment="1" applyProtection="1">
      <alignment horizontal="left" vertical="top" wrapText="1"/>
      <protection hidden="1"/>
    </xf>
    <xf numFmtId="0" fontId="40" fillId="0" borderId="24" xfId="2" applyFont="1" applyBorder="1" applyAlignment="1" applyProtection="1">
      <alignment horizontal="left" vertical="top" wrapText="1"/>
      <protection hidden="1"/>
    </xf>
    <xf numFmtId="0" fontId="35" fillId="0" borderId="1" xfId="2" applyFont="1" applyBorder="1" applyAlignment="1" applyProtection="1">
      <alignment horizontal="left"/>
      <protection hidden="1"/>
    </xf>
    <xf numFmtId="0" fontId="35" fillId="0" borderId="24" xfId="2" applyFont="1" applyBorder="1" applyAlignment="1" applyProtection="1">
      <alignment horizontal="left"/>
      <protection hidden="1"/>
    </xf>
    <xf numFmtId="0" fontId="35" fillId="0" borderId="42" xfId="2" applyFont="1" applyBorder="1" applyAlignment="1" applyProtection="1">
      <alignment horizontal="left"/>
      <protection hidden="1"/>
    </xf>
    <xf numFmtId="0" fontId="35" fillId="0" borderId="2" xfId="2" applyFont="1" applyBorder="1" applyAlignment="1" applyProtection="1">
      <alignment horizontal="left"/>
      <protection hidden="1"/>
    </xf>
    <xf numFmtId="0" fontId="39" fillId="2" borderId="38" xfId="2" applyFont="1" applyFill="1" applyBorder="1" applyAlignment="1" applyProtection="1">
      <alignment horizontal="left"/>
      <protection hidden="1"/>
    </xf>
    <xf numFmtId="0" fontId="39" fillId="2" borderId="37" xfId="2" applyFont="1" applyFill="1" applyBorder="1" applyAlignment="1" applyProtection="1">
      <alignment horizontal="left"/>
      <protection hidden="1"/>
    </xf>
    <xf numFmtId="0" fontId="39" fillId="2" borderId="35" xfId="2" applyFont="1" applyFill="1" applyBorder="1" applyAlignment="1" applyProtection="1">
      <alignment horizontal="left"/>
      <protection hidden="1"/>
    </xf>
    <xf numFmtId="0" fontId="10" fillId="8" borderId="44" xfId="2" applyFont="1" applyFill="1" applyBorder="1" applyAlignment="1" applyProtection="1">
      <alignment horizontal="center" vertical="center" wrapText="1"/>
      <protection hidden="1"/>
    </xf>
    <xf numFmtId="0" fontId="10" fillId="8" borderId="33" xfId="2" applyFont="1" applyFill="1" applyBorder="1" applyAlignment="1" applyProtection="1">
      <alignment horizontal="center" vertical="center" wrapText="1"/>
      <protection hidden="1"/>
    </xf>
    <xf numFmtId="0" fontId="15" fillId="7" borderId="0" xfId="2" applyFont="1" applyFill="1" applyAlignment="1" applyProtection="1">
      <alignment horizontal="left" vertical="top"/>
      <protection hidden="1"/>
    </xf>
    <xf numFmtId="0" fontId="10" fillId="9" borderId="67" xfId="15" applyFont="1" applyFill="1" applyBorder="1" applyAlignment="1" applyProtection="1">
      <alignment horizontal="center" vertical="center" wrapText="1"/>
      <protection hidden="1"/>
    </xf>
    <xf numFmtId="0" fontId="10" fillId="9" borderId="68" xfId="15" applyFont="1" applyFill="1" applyBorder="1" applyAlignment="1" applyProtection="1">
      <alignment horizontal="center" vertical="center" wrapText="1"/>
      <protection hidden="1"/>
    </xf>
    <xf numFmtId="0" fontId="10" fillId="9" borderId="44" xfId="15" applyFont="1" applyFill="1" applyBorder="1" applyAlignment="1" applyProtection="1">
      <alignment horizontal="center" vertical="center" wrapText="1"/>
      <protection hidden="1"/>
    </xf>
    <xf numFmtId="0" fontId="10" fillId="9" borderId="33" xfId="15" applyFont="1" applyFill="1" applyBorder="1" applyAlignment="1" applyProtection="1">
      <alignment horizontal="center" vertical="center" wrapText="1"/>
      <protection hidden="1"/>
    </xf>
    <xf numFmtId="0" fontId="10" fillId="20" borderId="5" xfId="15" applyFont="1" applyFill="1" applyBorder="1" applyAlignment="1" applyProtection="1">
      <alignment horizontal="center" vertical="center" wrapText="1"/>
      <protection hidden="1"/>
    </xf>
    <xf numFmtId="0" fontId="10" fillId="20" borderId="14" xfId="15" applyFont="1" applyFill="1" applyBorder="1" applyAlignment="1" applyProtection="1">
      <alignment horizontal="center" vertical="center" wrapText="1"/>
      <protection hidden="1"/>
    </xf>
    <xf numFmtId="0" fontId="10" fillId="20" borderId="4" xfId="15" applyFont="1" applyFill="1" applyBorder="1" applyAlignment="1" applyProtection="1">
      <alignment horizontal="center" vertical="center" wrapText="1"/>
      <protection hidden="1"/>
    </xf>
    <xf numFmtId="0" fontId="10" fillId="9" borderId="14" xfId="15" applyFont="1" applyFill="1" applyBorder="1" applyAlignment="1" applyProtection="1">
      <alignment horizontal="center" vertical="center" wrapText="1"/>
      <protection hidden="1"/>
    </xf>
    <xf numFmtId="0" fontId="10" fillId="9" borderId="23" xfId="15" applyFont="1" applyFill="1" applyBorder="1" applyAlignment="1" applyProtection="1">
      <alignment horizontal="center" vertical="center" wrapText="1"/>
      <protection hidden="1"/>
    </xf>
    <xf numFmtId="0" fontId="10" fillId="9" borderId="53" xfId="15" applyFont="1" applyFill="1" applyBorder="1" applyAlignment="1" applyProtection="1">
      <alignment horizontal="center" vertical="center" wrapText="1"/>
      <protection hidden="1"/>
    </xf>
    <xf numFmtId="0" fontId="10" fillId="9" borderId="31" xfId="15" applyFont="1" applyFill="1" applyBorder="1" applyAlignment="1" applyProtection="1">
      <alignment horizontal="center" vertical="center" wrapText="1"/>
      <protection hidden="1"/>
    </xf>
    <xf numFmtId="0" fontId="10" fillId="9" borderId="5" xfId="15" applyFont="1" applyFill="1" applyBorder="1" applyAlignment="1" applyProtection="1">
      <alignment horizontal="center" vertical="center" wrapText="1"/>
      <protection hidden="1"/>
    </xf>
    <xf numFmtId="0" fontId="10" fillId="9" borderId="4" xfId="15" applyFont="1" applyFill="1" applyBorder="1" applyAlignment="1" applyProtection="1">
      <alignment horizontal="center" vertical="center" wrapText="1"/>
      <protection hidden="1"/>
    </xf>
    <xf numFmtId="0" fontId="10" fillId="9" borderId="13" xfId="15" applyFont="1" applyFill="1" applyBorder="1" applyAlignment="1" applyProtection="1">
      <alignment horizontal="center" vertical="center" wrapText="1"/>
      <protection hidden="1"/>
    </xf>
    <xf numFmtId="0" fontId="10" fillId="9" borderId="41" xfId="15" applyFont="1" applyFill="1" applyBorder="1" applyAlignment="1" applyProtection="1">
      <alignment horizontal="center" vertical="center" wrapText="1"/>
      <protection hidden="1"/>
    </xf>
    <xf numFmtId="0" fontId="10" fillId="9" borderId="8" xfId="15" applyFont="1" applyFill="1" applyBorder="1" applyAlignment="1" applyProtection="1">
      <alignment horizontal="center" vertical="center" wrapText="1"/>
      <protection hidden="1"/>
    </xf>
    <xf numFmtId="0" fontId="10" fillId="9" borderId="26" xfId="15" applyFont="1" applyFill="1" applyBorder="1" applyAlignment="1" applyProtection="1">
      <alignment horizontal="center" vertical="center" wrapText="1"/>
      <protection hidden="1"/>
    </xf>
    <xf numFmtId="0" fontId="10" fillId="13" borderId="36" xfId="15" applyFont="1" applyFill="1" applyBorder="1" applyAlignment="1" applyProtection="1">
      <alignment horizontal="center" vertical="center"/>
      <protection hidden="1"/>
    </xf>
    <xf numFmtId="0" fontId="10" fillId="13" borderId="52" xfId="15" applyFont="1" applyFill="1" applyBorder="1" applyAlignment="1" applyProtection="1">
      <alignment horizontal="center" vertical="center"/>
      <protection hidden="1"/>
    </xf>
    <xf numFmtId="0" fontId="10" fillId="13" borderId="51" xfId="15" applyFont="1" applyFill="1" applyBorder="1" applyAlignment="1" applyProtection="1">
      <alignment horizontal="center" vertical="center"/>
      <protection hidden="1"/>
    </xf>
    <xf numFmtId="0" fontId="19" fillId="9" borderId="34" xfId="15" applyFont="1" applyFill="1" applyBorder="1" applyAlignment="1" applyProtection="1">
      <alignment horizontal="center" vertical="center" wrapText="1"/>
      <protection hidden="1"/>
    </xf>
    <xf numFmtId="0" fontId="19" fillId="9" borderId="25" xfId="15" applyFont="1" applyFill="1" applyBorder="1" applyAlignment="1" applyProtection="1">
      <alignment horizontal="center" vertical="center" wrapText="1"/>
      <protection hidden="1"/>
    </xf>
    <xf numFmtId="0" fontId="19" fillId="9" borderId="8" xfId="15" applyFont="1" applyFill="1" applyBorder="1" applyAlignment="1" applyProtection="1">
      <alignment horizontal="center" vertical="center" wrapText="1"/>
      <protection hidden="1"/>
    </xf>
    <xf numFmtId="0" fontId="19" fillId="9" borderId="5" xfId="15" applyFont="1" applyFill="1" applyBorder="1" applyAlignment="1" applyProtection="1">
      <alignment horizontal="center" vertical="center" wrapText="1"/>
      <protection hidden="1"/>
    </xf>
    <xf numFmtId="0" fontId="19" fillId="9" borderId="66" xfId="15" applyFont="1" applyFill="1" applyBorder="1" applyAlignment="1" applyProtection="1">
      <alignment horizontal="center" vertical="center" wrapText="1"/>
      <protection hidden="1"/>
    </xf>
    <xf numFmtId="0" fontId="19" fillId="9" borderId="30" xfId="15" applyFont="1" applyFill="1" applyBorder="1" applyAlignment="1" applyProtection="1">
      <alignment horizontal="center" vertical="center" wrapText="1"/>
      <protection hidden="1"/>
    </xf>
    <xf numFmtId="0" fontId="19" fillId="9" borderId="33" xfId="15" applyFont="1" applyFill="1" applyBorder="1" applyAlignment="1" applyProtection="1">
      <alignment horizontal="center" vertical="center" wrapText="1"/>
      <protection hidden="1"/>
    </xf>
    <xf numFmtId="0" fontId="19" fillId="9" borderId="1" xfId="15" applyFont="1" applyFill="1" applyBorder="1" applyAlignment="1" applyProtection="1">
      <alignment horizontal="center" vertical="center" wrapText="1"/>
      <protection hidden="1"/>
    </xf>
    <xf numFmtId="0" fontId="10" fillId="12" borderId="48" xfId="15" applyFont="1" applyFill="1" applyBorder="1" applyAlignment="1" applyProtection="1">
      <alignment horizontal="center" vertical="center"/>
      <protection hidden="1"/>
    </xf>
    <xf numFmtId="0" fontId="10" fillId="12" borderId="52" xfId="15" applyFont="1" applyFill="1" applyBorder="1" applyAlignment="1" applyProtection="1">
      <alignment horizontal="center" vertical="center"/>
      <protection hidden="1"/>
    </xf>
    <xf numFmtId="0" fontId="10" fillId="12" borderId="51" xfId="15" applyFont="1" applyFill="1" applyBorder="1" applyAlignment="1" applyProtection="1">
      <alignment horizontal="center" vertical="center"/>
      <protection hidden="1"/>
    </xf>
    <xf numFmtId="0" fontId="10" fillId="21" borderId="5" xfId="15" applyFont="1" applyFill="1" applyBorder="1" applyAlignment="1" applyProtection="1">
      <alignment horizontal="center" vertical="center" wrapText="1"/>
      <protection hidden="1"/>
    </xf>
    <xf numFmtId="0" fontId="10" fillId="21" borderId="4" xfId="15" applyFont="1" applyFill="1" applyBorder="1" applyAlignment="1" applyProtection="1">
      <alignment horizontal="center" vertical="center" wrapText="1"/>
      <protection hidden="1"/>
    </xf>
    <xf numFmtId="0" fontId="10" fillId="21" borderId="14" xfId="15" applyFont="1" applyFill="1" applyBorder="1" applyAlignment="1" applyProtection="1">
      <alignment horizontal="center" vertical="center" wrapText="1"/>
      <protection hidden="1"/>
    </xf>
    <xf numFmtId="0" fontId="10" fillId="9" borderId="22" xfId="15" applyFont="1" applyFill="1" applyBorder="1" applyAlignment="1" applyProtection="1">
      <alignment horizontal="center" vertical="center"/>
      <protection hidden="1"/>
    </xf>
    <xf numFmtId="0" fontId="10" fillId="9" borderId="21" xfId="15" applyFont="1" applyFill="1" applyBorder="1" applyAlignment="1" applyProtection="1">
      <alignment horizontal="center" vertical="center"/>
      <protection hidden="1"/>
    </xf>
    <xf numFmtId="0" fontId="9" fillId="10" borderId="53" xfId="15" applyFont="1" applyFill="1" applyBorder="1" applyAlignment="1" applyProtection="1">
      <alignment horizontal="center" vertical="center"/>
      <protection hidden="1"/>
    </xf>
    <xf numFmtId="0" fontId="9" fillId="10" borderId="73" xfId="15" applyFont="1" applyFill="1" applyBorder="1" applyAlignment="1" applyProtection="1">
      <alignment horizontal="center" vertical="center"/>
      <protection hidden="1"/>
    </xf>
    <xf numFmtId="0" fontId="11" fillId="10" borderId="44" xfId="15" applyFont="1" applyFill="1" applyBorder="1" applyAlignment="1" applyProtection="1">
      <alignment horizontal="center" vertical="center"/>
      <protection hidden="1"/>
    </xf>
    <xf numFmtId="0" fontId="11" fillId="10" borderId="69" xfId="15" applyFont="1" applyFill="1" applyBorder="1" applyAlignment="1" applyProtection="1">
      <alignment horizontal="center" vertical="center"/>
      <protection hidden="1"/>
    </xf>
    <xf numFmtId="0" fontId="9" fillId="10" borderId="31" xfId="15" applyFont="1" applyFill="1" applyBorder="1" applyAlignment="1" applyProtection="1">
      <alignment horizontal="center" vertical="center"/>
      <protection hidden="1"/>
    </xf>
    <xf numFmtId="0" fontId="11" fillId="10" borderId="30" xfId="15" applyFont="1" applyFill="1" applyBorder="1" applyAlignment="1" applyProtection="1">
      <alignment horizontal="center" vertical="center"/>
      <protection hidden="1"/>
    </xf>
    <xf numFmtId="0" fontId="19" fillId="9" borderId="31" xfId="15" applyFont="1" applyFill="1" applyBorder="1" applyAlignment="1" applyProtection="1">
      <alignment horizontal="center" vertical="center" wrapText="1"/>
      <protection hidden="1"/>
    </xf>
    <xf numFmtId="0" fontId="19" fillId="9" borderId="10" xfId="15" applyFont="1" applyFill="1" applyBorder="1" applyAlignment="1" applyProtection="1">
      <alignment horizontal="center" vertical="center" wrapText="1"/>
      <protection hidden="1"/>
    </xf>
    <xf numFmtId="0" fontId="10" fillId="13" borderId="82" xfId="15" applyFont="1" applyFill="1" applyBorder="1" applyAlignment="1" applyProtection="1">
      <alignment horizontal="center" vertical="center"/>
      <protection hidden="1"/>
    </xf>
    <xf numFmtId="0" fontId="10" fillId="13" borderId="37" xfId="15" applyFont="1" applyFill="1" applyBorder="1" applyAlignment="1" applyProtection="1">
      <alignment horizontal="center" vertical="center"/>
      <protection hidden="1"/>
    </xf>
    <xf numFmtId="0" fontId="10" fillId="13" borderId="37" xfId="15" applyFont="1" applyFill="1" applyBorder="1" applyAlignment="1" applyProtection="1">
      <alignment vertical="center"/>
      <protection hidden="1"/>
    </xf>
    <xf numFmtId="0" fontId="10" fillId="13" borderId="35" xfId="15" applyFont="1" applyFill="1" applyBorder="1" applyAlignment="1" applyProtection="1">
      <alignment vertical="center"/>
      <protection hidden="1"/>
    </xf>
    <xf numFmtId="0" fontId="10" fillId="9" borderId="41" xfId="15" applyFont="1" applyFill="1" applyBorder="1" applyAlignment="1" applyProtection="1">
      <alignment vertical="center"/>
      <protection hidden="1"/>
    </xf>
    <xf numFmtId="0" fontId="10" fillId="9" borderId="30" xfId="15" applyFont="1" applyFill="1" applyBorder="1" applyAlignment="1" applyProtection="1">
      <alignment horizontal="center" vertical="center" wrapText="1"/>
      <protection hidden="1"/>
    </xf>
    <xf numFmtId="0" fontId="10" fillId="9" borderId="29" xfId="15" applyFont="1" applyFill="1" applyBorder="1" applyAlignment="1" applyProtection="1">
      <alignment horizontal="center" vertical="center" wrapText="1"/>
      <protection hidden="1"/>
    </xf>
    <xf numFmtId="0" fontId="9" fillId="10" borderId="1" xfId="15" applyFont="1" applyFill="1" applyBorder="1" applyAlignment="1" applyProtection="1">
      <alignment horizontal="center" vertical="center"/>
      <protection hidden="1"/>
    </xf>
    <xf numFmtId="0" fontId="20" fillId="10" borderId="1" xfId="15" applyFont="1" applyFill="1" applyBorder="1" applyAlignment="1" applyProtection="1">
      <alignment horizontal="center" vertical="center"/>
      <protection hidden="1"/>
    </xf>
    <xf numFmtId="0" fontId="10" fillId="9" borderId="85" xfId="15" applyFont="1" applyFill="1" applyBorder="1" applyAlignment="1" applyProtection="1">
      <alignment horizontal="center" vertical="center"/>
      <protection hidden="1"/>
    </xf>
    <xf numFmtId="0" fontId="10" fillId="9" borderId="81" xfId="15" applyFont="1" applyFill="1" applyBorder="1" applyAlignment="1" applyProtection="1">
      <alignment horizontal="center" vertical="center"/>
      <protection hidden="1"/>
    </xf>
    <xf numFmtId="0" fontId="10" fillId="9" borderId="43" xfId="15" applyFont="1" applyFill="1" applyBorder="1" applyAlignment="1">
      <alignment horizontal="center" vertical="center"/>
    </xf>
    <xf numFmtId="0" fontId="10" fillId="9" borderId="42" xfId="15" applyFont="1" applyFill="1" applyBorder="1" applyAlignment="1">
      <alignment horizontal="center" vertical="center"/>
    </xf>
    <xf numFmtId="0" fontId="21" fillId="7" borderId="0" xfId="15" applyFont="1" applyFill="1" applyAlignment="1">
      <alignment horizontal="left" vertical="center"/>
    </xf>
    <xf numFmtId="0" fontId="21" fillId="16" borderId="40" xfId="15" applyFont="1" applyFill="1" applyBorder="1" applyAlignment="1">
      <alignment horizontal="center" vertical="center"/>
    </xf>
    <xf numFmtId="0" fontId="21" fillId="16" borderId="39" xfId="15" applyFont="1" applyFill="1" applyBorder="1" applyAlignment="1">
      <alignment horizontal="center" vertical="center"/>
    </xf>
    <xf numFmtId="0" fontId="21" fillId="16" borderId="45" xfId="15" applyFont="1" applyFill="1" applyBorder="1" applyAlignment="1">
      <alignment horizontal="center" vertical="center"/>
    </xf>
    <xf numFmtId="0" fontId="21" fillId="16" borderId="3" xfId="15" applyFont="1" applyFill="1" applyBorder="1" applyAlignment="1">
      <alignment horizontal="center" vertical="center"/>
    </xf>
    <xf numFmtId="0" fontId="19" fillId="9" borderId="31" xfId="15" applyFont="1" applyFill="1" applyBorder="1" applyAlignment="1">
      <alignment horizontal="center" vertical="center" wrapText="1"/>
    </xf>
    <xf numFmtId="0" fontId="19" fillId="9" borderId="34" xfId="15" applyFont="1" applyFill="1" applyBorder="1" applyAlignment="1">
      <alignment horizontal="center" vertical="center" wrapText="1"/>
    </xf>
    <xf numFmtId="0" fontId="19" fillId="9" borderId="30" xfId="15" applyFont="1" applyFill="1" applyBorder="1" applyAlignment="1">
      <alignment horizontal="center" vertical="center" wrapText="1"/>
    </xf>
    <xf numFmtId="0" fontId="19" fillId="9" borderId="33" xfId="15" applyFont="1" applyFill="1" applyBorder="1" applyAlignment="1">
      <alignment horizontal="center" vertical="center" wrapText="1"/>
    </xf>
    <xf numFmtId="0" fontId="10" fillId="9" borderId="37" xfId="15" applyFont="1" applyFill="1" applyBorder="1" applyAlignment="1">
      <alignment horizontal="center" vertical="center"/>
    </xf>
    <xf numFmtId="0" fontId="10" fillId="9" borderId="36" xfId="15" applyFont="1" applyFill="1" applyBorder="1" applyAlignment="1">
      <alignment horizontal="center" vertical="center"/>
    </xf>
    <xf numFmtId="0" fontId="9" fillId="9" borderId="35" xfId="15" applyFont="1" applyFill="1" applyBorder="1" applyAlignment="1">
      <alignment vertical="center"/>
    </xf>
  </cellXfs>
  <cellStyles count="24">
    <cellStyle name="Currency 2" xfId="3" xr:uid="{00000000-0005-0000-0000-000000000000}"/>
    <cellStyle name="Navadno" xfId="0" builtinId="0"/>
    <cellStyle name="Navadno 2" xfId="5" xr:uid="{00000000-0005-0000-0000-000002000000}"/>
    <cellStyle name="Navadno 2 2" xfId="15" xr:uid="{00000000-0005-0000-0000-000003000000}"/>
    <cellStyle name="Navadno 2 3" xfId="19" xr:uid="{00000000-0005-0000-0000-000004000000}"/>
    <cellStyle name="Navadno 3" xfId="18" xr:uid="{00000000-0005-0000-0000-000005000000}"/>
    <cellStyle name="Navadno 4" xfId="21" xr:uid="{00000000-0005-0000-0000-000006000000}"/>
    <cellStyle name="Normal 2" xfId="2" xr:uid="{00000000-0005-0000-0000-000007000000}"/>
    <cellStyle name="Normal 2 2" xfId="11" xr:uid="{00000000-0005-0000-0000-000008000000}"/>
    <cellStyle name="Normal 3" xfId="1" xr:uid="{00000000-0005-0000-0000-000009000000}"/>
    <cellStyle name="Odstotek" xfId="20" builtinId="5"/>
    <cellStyle name="Odstotek 2" xfId="7" xr:uid="{00000000-0005-0000-0000-00000B000000}"/>
    <cellStyle name="Odstotek 2 2" xfId="17" xr:uid="{00000000-0005-0000-0000-00000C000000}"/>
    <cellStyle name="Odstotek 3" xfId="13" xr:uid="{00000000-0005-0000-0000-00000D000000}"/>
    <cellStyle name="Percent 2" xfId="4" xr:uid="{00000000-0005-0000-0000-00000E000000}"/>
    <cellStyle name="Standard_Vorlage_Kalk_ AC 030123 2" xfId="8" xr:uid="{00000000-0005-0000-0000-00000F000000}"/>
    <cellStyle name="Valuta" xfId="10" builtinId="4"/>
    <cellStyle name="Valuta 2" xfId="6" xr:uid="{00000000-0005-0000-0000-000011000000}"/>
    <cellStyle name="Valuta 2 2" xfId="16" xr:uid="{00000000-0005-0000-0000-000012000000}"/>
    <cellStyle name="Valuta 3" xfId="12" xr:uid="{00000000-0005-0000-0000-000013000000}"/>
    <cellStyle name="Valuta 5" xfId="23" xr:uid="{00000000-0005-0000-0000-000014000000}"/>
    <cellStyle name="Vejica" xfId="9" builtinId="3"/>
    <cellStyle name="Vejica 2" xfId="14" xr:uid="{00000000-0005-0000-0000-000016000000}"/>
    <cellStyle name="Vejica 3" xfId="22" xr:uid="{00000000-0005-0000-0000-000017000000}"/>
  </cellStyles>
  <dxfs count="41">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strike val="0"/>
        <outline val="0"/>
        <shadow val="0"/>
        <u val="none"/>
        <vertAlign val="baseline"/>
        <name val="Bookman Old Style"/>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Bookman Old Style"/>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Bookman Old Style"/>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Bookman Old Style"/>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Bookman Old Style"/>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Bookman Old Style"/>
        <scheme val="none"/>
      </font>
    </dxf>
    <dxf>
      <font>
        <strike val="0"/>
        <outline val="0"/>
        <shadow val="0"/>
        <u val="none"/>
        <vertAlign val="baseline"/>
        <name val="Bookman Old Style"/>
        <scheme val="none"/>
      </font>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s>
  <tableStyles count="2" defaultTableStyle="TableStyleMedium2" defaultPivotStyle="PivotStyleMedium9">
    <tableStyle name="TableStyleMedium2 2" pivot="0" count="7" xr9:uid="{00000000-0011-0000-FFFF-FFFF00000000}">
      <tableStyleElement type="wholeTable" dxfId="40"/>
      <tableStyleElement type="headerRow" dxfId="39"/>
      <tableStyleElement type="totalRow" dxfId="38"/>
      <tableStyleElement type="firstColumn" dxfId="37"/>
      <tableStyleElement type="lastColumn" dxfId="36"/>
      <tableStyleElement type="firstRowStripe" dxfId="35"/>
      <tableStyleElement type="firstColumnStripe" dxfId="34"/>
    </tableStyle>
    <tableStyle name="TableStyleMedium2 3" pivot="0" count="7" xr9:uid="{00000000-0011-0000-FFFF-FFFF01000000}">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s>
  <colors>
    <mruColors>
      <color rgb="FFBBF6A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i/Razpisi-ponudbe/2017-29-EUO%20MO%20Kranj/Kalkulacija%20Konk.%20dialog/Priloga%201_ZA%20KV.%20PONUDBO_KON&#268;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ENTI"/>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7" displayName="Tabela7" ref="A4:E9" totalsRowShown="0" headerRowDxfId="26" dataDxfId="25">
  <autoFilter ref="A4:E9" xr:uid="{00000000-0009-0000-0100-000001000000}"/>
  <tableColumns count="5">
    <tableColumn id="1" xr3:uid="{00000000-0010-0000-0000-000001000000}" name="Št." dataDxfId="24">
      <calculatedColumnFormula>'Referenčne količine'!A3</calculatedColumnFormula>
    </tableColumn>
    <tableColumn id="2" xr3:uid="{00000000-0010-0000-0000-000002000000}" name="ID" dataDxfId="23">
      <calculatedColumnFormula>'Referenčne količine'!B3</calculatedColumnFormula>
    </tableColumn>
    <tableColumn id="3" xr3:uid="{00000000-0010-0000-0000-000003000000}" name="Naziv objekta" dataDxfId="22">
      <calculatedColumnFormula>'Referenčne količine'!C3</calculatedColumnFormula>
    </tableColumn>
    <tableColumn id="4" xr3:uid="{00000000-0010-0000-0000-000004000000}" name="Naslov" dataDxfId="21">
      <calculatedColumnFormula>'Referenčne količine'!D3</calculatedColumnFormula>
    </tableColumn>
    <tableColumn id="5" xr3:uid="{00000000-0010-0000-0000-000005000000}" name="Tip objekta" dataDxfId="2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23:I39"/>
  <sheetViews>
    <sheetView view="pageBreakPreview" zoomScaleSheetLayoutView="100" workbookViewId="0">
      <selection activeCell="C23" sqref="C23:G23"/>
    </sheetView>
  </sheetViews>
  <sheetFormatPr defaultColWidth="8.85546875" defaultRowHeight="15" x14ac:dyDescent="0.25"/>
  <sheetData>
    <row r="23" spans="1:9" ht="18.75" x14ac:dyDescent="0.3">
      <c r="C23" s="503" t="s">
        <v>301</v>
      </c>
      <c r="D23" s="503"/>
      <c r="E23" s="503"/>
      <c r="F23" s="503"/>
      <c r="G23" s="503"/>
    </row>
    <row r="27" spans="1:9" ht="26.25" x14ac:dyDescent="0.4">
      <c r="A27" s="505" t="s">
        <v>0</v>
      </c>
      <c r="B27" s="504"/>
      <c r="C27" s="504"/>
      <c r="D27" s="504"/>
      <c r="E27" s="504"/>
      <c r="F27" s="504"/>
      <c r="G27" s="504"/>
      <c r="H27" s="504"/>
      <c r="I27" s="504"/>
    </row>
    <row r="29" spans="1:9" ht="21" x14ac:dyDescent="0.35">
      <c r="A29" s="506" t="s">
        <v>55</v>
      </c>
      <c r="B29" s="506"/>
      <c r="C29" s="506"/>
      <c r="D29" s="506"/>
      <c r="E29" s="506"/>
      <c r="F29" s="506"/>
      <c r="G29" s="506"/>
      <c r="H29" s="506"/>
      <c r="I29" s="506"/>
    </row>
    <row r="31" spans="1:9" x14ac:dyDescent="0.25">
      <c r="A31" s="504" t="s">
        <v>71</v>
      </c>
      <c r="B31" s="504"/>
      <c r="C31" s="504"/>
      <c r="D31" s="504"/>
      <c r="E31" s="504"/>
      <c r="F31" s="504"/>
      <c r="G31" s="504"/>
      <c r="H31" s="504"/>
      <c r="I31" s="504"/>
    </row>
    <row r="32" spans="1:9" x14ac:dyDescent="0.25">
      <c r="A32" s="504" t="s">
        <v>72</v>
      </c>
      <c r="B32" s="504"/>
      <c r="C32" s="504"/>
      <c r="D32" s="504"/>
      <c r="E32" s="504"/>
      <c r="F32" s="504"/>
      <c r="G32" s="504"/>
      <c r="H32" s="504"/>
      <c r="I32" s="504"/>
    </row>
    <row r="33" spans="1:9" x14ac:dyDescent="0.25">
      <c r="A33" s="504"/>
      <c r="B33" s="504"/>
      <c r="C33" s="504"/>
      <c r="D33" s="504"/>
      <c r="E33" s="504"/>
      <c r="F33" s="504"/>
      <c r="G33" s="504"/>
      <c r="H33" s="504"/>
      <c r="I33" s="504"/>
    </row>
    <row r="34" spans="1:9" x14ac:dyDescent="0.25">
      <c r="A34" s="504" t="s">
        <v>298</v>
      </c>
      <c r="B34" s="504"/>
      <c r="C34" s="504"/>
      <c r="D34" s="504"/>
      <c r="E34" s="504"/>
      <c r="F34" s="504"/>
      <c r="G34" s="504"/>
      <c r="H34" s="504"/>
      <c r="I34" s="504"/>
    </row>
    <row r="35" spans="1:9" x14ac:dyDescent="0.25">
      <c r="A35" s="504" t="s">
        <v>300</v>
      </c>
      <c r="B35" s="504"/>
      <c r="C35" s="504"/>
      <c r="D35" s="504"/>
      <c r="E35" s="504"/>
      <c r="F35" s="504"/>
      <c r="G35" s="504"/>
      <c r="H35" s="504"/>
      <c r="I35" s="504"/>
    </row>
    <row r="36" spans="1:9" x14ac:dyDescent="0.25">
      <c r="A36" s="504" t="s">
        <v>299</v>
      </c>
      <c r="B36" s="504"/>
      <c r="C36" s="504"/>
      <c r="D36" s="504"/>
      <c r="E36" s="504"/>
      <c r="F36" s="504"/>
      <c r="G36" s="504"/>
      <c r="H36" s="504"/>
      <c r="I36" s="504"/>
    </row>
    <row r="37" spans="1:9" ht="15" customHeight="1" x14ac:dyDescent="0.25">
      <c r="A37" s="507" t="s">
        <v>253</v>
      </c>
      <c r="B37" s="507"/>
      <c r="C37" s="507"/>
      <c r="D37" s="507"/>
      <c r="E37" s="507"/>
      <c r="F37" s="507"/>
      <c r="G37" s="507"/>
      <c r="H37" s="507"/>
      <c r="I37" s="507"/>
    </row>
    <row r="38" spans="1:9" x14ac:dyDescent="0.25">
      <c r="A38" s="504" t="s">
        <v>57</v>
      </c>
      <c r="B38" s="504"/>
      <c r="C38" s="504"/>
      <c r="D38" s="504"/>
      <c r="E38" s="504"/>
      <c r="F38" s="504"/>
      <c r="G38" s="504"/>
      <c r="H38" s="504"/>
      <c r="I38" s="504"/>
    </row>
    <row r="39" spans="1:9" x14ac:dyDescent="0.25">
      <c r="A39" s="504" t="s">
        <v>109</v>
      </c>
      <c r="B39" s="504"/>
      <c r="C39" s="504"/>
      <c r="D39" s="504"/>
      <c r="E39" s="504"/>
      <c r="F39" s="504"/>
      <c r="G39" s="504"/>
      <c r="H39" s="504"/>
      <c r="I39" s="504"/>
    </row>
  </sheetData>
  <mergeCells count="12">
    <mergeCell ref="C23:G23"/>
    <mergeCell ref="A39:I39"/>
    <mergeCell ref="A38:I38"/>
    <mergeCell ref="A27:I27"/>
    <mergeCell ref="A29:I29"/>
    <mergeCell ref="A36:I36"/>
    <mergeCell ref="A37:I37"/>
    <mergeCell ref="A31:I31"/>
    <mergeCell ref="A32:I32"/>
    <mergeCell ref="A33:I33"/>
    <mergeCell ref="A34:I34"/>
    <mergeCell ref="A35:I35"/>
  </mergeCells>
  <phoneticPr fontId="6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G111"/>
  <sheetViews>
    <sheetView zoomScale="110" zoomScaleNormal="110" zoomScaleSheetLayoutView="110" zoomScalePageLayoutView="110" workbookViewId="0">
      <selection activeCell="C52" sqref="C52"/>
    </sheetView>
  </sheetViews>
  <sheetFormatPr defaultColWidth="9.140625" defaultRowHeight="12.75" x14ac:dyDescent="0.2"/>
  <cols>
    <col min="1" max="1" width="48.28515625" style="74" customWidth="1"/>
    <col min="2" max="2" width="23.7109375" style="74" customWidth="1"/>
    <col min="3" max="3" width="20.85546875" style="74" customWidth="1"/>
    <col min="4" max="4" width="28" style="74" customWidth="1"/>
    <col min="5" max="5" width="21" style="74" customWidth="1"/>
    <col min="6" max="6" width="9.140625" style="74"/>
    <col min="7" max="7" width="14.5703125" style="74" customWidth="1"/>
    <col min="8" max="16384" width="9.140625" style="74"/>
  </cols>
  <sheetData>
    <row r="1" spans="1:7" ht="18.75" x14ac:dyDescent="0.3">
      <c r="A1" s="582" t="s">
        <v>2</v>
      </c>
      <c r="B1" s="582"/>
      <c r="E1" s="75"/>
    </row>
    <row r="2" spans="1:7" ht="13.5" thickBot="1" x14ac:dyDescent="0.25">
      <c r="C2" s="76"/>
      <c r="E2" s="75"/>
    </row>
    <row r="3" spans="1:7" x14ac:dyDescent="0.2">
      <c r="A3" s="579" t="s">
        <v>31</v>
      </c>
      <c r="B3" s="580"/>
      <c r="C3" s="581"/>
    </row>
    <row r="4" spans="1:7" ht="33" customHeight="1" x14ac:dyDescent="0.2">
      <c r="A4" s="77" t="s">
        <v>30</v>
      </c>
      <c r="B4" s="583" t="str">
        <f ca="1">VLOOKUP($B$6,'Referenčne količine'!$B$3:$AM$7,2,)</f>
        <v>Športna dvorana Radenci</v>
      </c>
      <c r="C4" s="584"/>
    </row>
    <row r="5" spans="1:7" x14ac:dyDescent="0.2">
      <c r="A5" s="77" t="s">
        <v>29</v>
      </c>
      <c r="B5" s="585" t="str">
        <f ca="1">VLOOKUP($B$6,'Referenčne količine'!$B$3:$AM$7,3,)</f>
        <v>Radgonska cesta 10</v>
      </c>
      <c r="C5" s="586"/>
    </row>
    <row r="6" spans="1:7" x14ac:dyDescent="0.2">
      <c r="A6" s="77" t="s">
        <v>28</v>
      </c>
      <c r="B6" s="585" t="str">
        <f ca="1">RIGHT(CELL("filename",A1),4)</f>
        <v>OB02</v>
      </c>
      <c r="C6" s="586"/>
    </row>
    <row r="7" spans="1:7" x14ac:dyDescent="0.2">
      <c r="A7" s="77" t="s">
        <v>27</v>
      </c>
      <c r="B7" s="585">
        <f ca="1">VLOOKUP($B$6,'Referenčne količine'!$B$3:$AM$7,6,)</f>
        <v>1471.2</v>
      </c>
      <c r="C7" s="586"/>
      <c r="F7" s="78"/>
      <c r="G7" s="78"/>
    </row>
    <row r="8" spans="1:7" ht="13.5" thickBot="1" x14ac:dyDescent="0.25">
      <c r="A8" s="79" t="s">
        <v>26</v>
      </c>
      <c r="B8" s="587" t="str">
        <f ca="1">VLOOKUP($B$6,'Referenčne količine'!$B$3:$AM$7,15,)</f>
        <v>ZP</v>
      </c>
      <c r="C8" s="588"/>
    </row>
    <row r="9" spans="1:7" ht="13.5" thickBot="1" x14ac:dyDescent="0.25"/>
    <row r="10" spans="1:7" x14ac:dyDescent="0.2">
      <c r="A10" s="589" t="s">
        <v>259</v>
      </c>
      <c r="B10" s="590"/>
      <c r="C10" s="591"/>
    </row>
    <row r="11" spans="1:7" ht="26.25" thickBot="1" x14ac:dyDescent="0.25">
      <c r="A11" s="80" t="s">
        <v>127</v>
      </c>
      <c r="B11" s="70" t="s">
        <v>120</v>
      </c>
      <c r="C11" s="81" t="s">
        <v>128</v>
      </c>
    </row>
    <row r="12" spans="1:7" x14ac:dyDescent="0.2">
      <c r="A12" s="68" t="s">
        <v>330</v>
      </c>
      <c r="B12" s="82">
        <f ca="1">VLOOKUP($B$6,'Referenčne količine'!$B$3:$AM$7,20,)</f>
        <v>143743</v>
      </c>
      <c r="C12" s="82">
        <f ca="1">VLOOKUP($B$6,'Referenčne količine'!$B$3:$AM$7,23,)</f>
        <v>143743</v>
      </c>
      <c r="E12" s="83"/>
      <c r="F12" s="83"/>
      <c r="G12" s="83"/>
    </row>
    <row r="13" spans="1:7" x14ac:dyDescent="0.2">
      <c r="A13" s="69" t="s">
        <v>308</v>
      </c>
      <c r="B13" s="85"/>
      <c r="C13" s="85">
        <f ca="1">VLOOKUP($B$6,'Referenčne količine'!$B$3:$AM$7,25,)</f>
        <v>116319.7</v>
      </c>
      <c r="E13" s="78"/>
      <c r="F13" s="78"/>
      <c r="G13" s="78"/>
    </row>
    <row r="14" spans="1:7" x14ac:dyDescent="0.2">
      <c r="A14" s="393" t="s">
        <v>309</v>
      </c>
      <c r="B14" s="85"/>
      <c r="C14" s="85">
        <f ca="1">VLOOKUP($B$6,'Referenčne količine'!$B$3:$AM$7,26,)</f>
        <v>27423.3</v>
      </c>
      <c r="E14" s="78"/>
      <c r="F14" s="78"/>
      <c r="G14" s="78"/>
    </row>
    <row r="15" spans="1:7" x14ac:dyDescent="0.2">
      <c r="A15" s="69" t="s">
        <v>310</v>
      </c>
      <c r="B15" s="85"/>
      <c r="C15" s="85">
        <f ca="1">VLOOKUP($B$6,'Referenčne količine'!$B$3:$AM$7,27,)</f>
        <v>0</v>
      </c>
      <c r="E15" s="83"/>
      <c r="F15" s="83"/>
      <c r="G15" s="83"/>
    </row>
    <row r="16" spans="1:7" x14ac:dyDescent="0.2">
      <c r="A16" s="69" t="s">
        <v>118</v>
      </c>
      <c r="B16" s="408">
        <f ca="1">VLOOKUP($B$6,'Referenčne količine'!$B$3:$AM$7,19,)</f>
        <v>7271.3138263879991</v>
      </c>
      <c r="C16" s="408">
        <f ca="1">VLOOKUP($B$6,'Referenčne količine'!$B$3:$AM$7,19,)</f>
        <v>7271.3138263879991</v>
      </c>
      <c r="E16" s="83"/>
      <c r="F16" s="83"/>
      <c r="G16" s="83"/>
    </row>
    <row r="17" spans="1:7" ht="13.5" thickBot="1" x14ac:dyDescent="0.25">
      <c r="A17" s="438" t="s">
        <v>311</v>
      </c>
      <c r="B17" s="87">
        <f ca="1">VLOOKUP($B$6,'Referenčne količine'!$B$3:$AM$7,21,)/1000</f>
        <v>5.0585515999999997E-2</v>
      </c>
      <c r="C17" s="87">
        <f ca="1">VLOOKUP($B$6,'Referenčne količine'!$B$3:$AM$7,21,)/1000</f>
        <v>5.0585515999999997E-2</v>
      </c>
      <c r="E17" s="83"/>
      <c r="F17" s="83"/>
      <c r="G17" s="83"/>
    </row>
    <row r="18" spans="1:7" x14ac:dyDescent="0.2">
      <c r="A18" s="68" t="s">
        <v>121</v>
      </c>
      <c r="B18" s="82">
        <f ca="1">VLOOKUP($B$6,'Referenčne količine'!$B$3:$AM$7,28,)</f>
        <v>47908.852221164896</v>
      </c>
      <c r="C18" s="485">
        <f ca="1">VLOOKUP($B$6,'Referenčne količine'!$B$3:$AM$7,32)</f>
        <v>47908.852221164896</v>
      </c>
      <c r="D18" s="486"/>
      <c r="E18" s="83"/>
      <c r="F18" s="83"/>
      <c r="G18" s="83"/>
    </row>
    <row r="19" spans="1:7" x14ac:dyDescent="0.2">
      <c r="A19" s="71" t="s">
        <v>122</v>
      </c>
      <c r="B19" s="85"/>
      <c r="C19" s="84">
        <f ca="1">VLOOKUP($B$6,'Referenčne količine'!$B$3:$AM$7,34,)</f>
        <v>0</v>
      </c>
      <c r="E19" s="83"/>
      <c r="F19" s="83"/>
      <c r="G19" s="83"/>
    </row>
    <row r="20" spans="1:7" x14ac:dyDescent="0.2">
      <c r="A20" s="71" t="s">
        <v>123</v>
      </c>
      <c r="B20" s="84"/>
      <c r="C20" s="84">
        <f ca="1">VLOOKUP($B$6,'Referenčne količine'!$B$3:$AM$7,35,)</f>
        <v>0</v>
      </c>
      <c r="E20" s="83"/>
      <c r="F20" s="83"/>
      <c r="G20" s="83"/>
    </row>
    <row r="21" spans="1:7" x14ac:dyDescent="0.2">
      <c r="A21" s="72" t="s">
        <v>124</v>
      </c>
      <c r="B21" s="88">
        <f ca="1">VLOOKUP($B$6,'Referenčne količine'!$B$3:$AM$7,29,)</f>
        <v>5324.6948680776295</v>
      </c>
      <c r="C21" s="86">
        <f ca="1">VLOOKUP($B$6,'Referenčne količine'!$B$3:$AM$7,33,)</f>
        <v>5324.6948680776295</v>
      </c>
      <c r="D21" s="273"/>
      <c r="E21" s="83"/>
      <c r="F21" s="83"/>
      <c r="G21" s="83"/>
    </row>
    <row r="22" spans="1:7" ht="13.5" thickBot="1" x14ac:dyDescent="0.25">
      <c r="A22" s="73" t="s">
        <v>125</v>
      </c>
      <c r="B22" s="363">
        <f ca="1">VLOOKUP($B$6,'Referenčne količine'!$B$3:$AM$7,30,)</f>
        <v>0.11114219233424499</v>
      </c>
      <c r="C22" s="363">
        <f ca="1">VLOOKUP($B$6,'Referenčne količine'!$B$3:$AM$7,30,)</f>
        <v>0.11114219233424499</v>
      </c>
      <c r="E22" s="83"/>
      <c r="F22" s="83"/>
      <c r="G22" s="83"/>
    </row>
    <row r="23" spans="1:7" ht="14.45" customHeight="1" thickBot="1" x14ac:dyDescent="0.25">
      <c r="A23" s="411" t="s">
        <v>126</v>
      </c>
      <c r="B23" s="412">
        <f ca="1">VLOOKUP($B$6,'Referenčne količine'!$B$3:$AM$7,37,)</f>
        <v>2574.6</v>
      </c>
      <c r="C23" s="413"/>
      <c r="E23" s="83"/>
      <c r="F23" s="83"/>
    </row>
    <row r="24" spans="1:7" ht="13.5" thickBot="1" x14ac:dyDescent="0.25">
      <c r="F24" s="397"/>
    </row>
    <row r="25" spans="1:7" x14ac:dyDescent="0.2">
      <c r="A25" s="579" t="s">
        <v>129</v>
      </c>
      <c r="B25" s="580"/>
      <c r="C25" s="581"/>
      <c r="F25" s="398"/>
    </row>
    <row r="26" spans="1:7" x14ac:dyDescent="0.2">
      <c r="A26" s="394"/>
      <c r="B26" s="395"/>
      <c r="C26" s="396"/>
      <c r="D26" s="89"/>
      <c r="F26" s="398"/>
    </row>
    <row r="27" spans="1:7" ht="13.35" customHeight="1" x14ac:dyDescent="0.2">
      <c r="A27" s="572"/>
      <c r="B27" s="573"/>
      <c r="C27" s="574"/>
      <c r="E27" s="89"/>
      <c r="F27" s="398"/>
    </row>
    <row r="28" spans="1:7" x14ac:dyDescent="0.2">
      <c r="A28" s="572"/>
      <c r="B28" s="573"/>
      <c r="C28" s="574"/>
      <c r="E28" s="89"/>
      <c r="F28" s="398"/>
    </row>
    <row r="29" spans="1:7" x14ac:dyDescent="0.2">
      <c r="A29" s="572"/>
      <c r="B29" s="573"/>
      <c r="C29" s="574"/>
      <c r="E29" s="89"/>
      <c r="F29" s="398"/>
    </row>
    <row r="30" spans="1:7" x14ac:dyDescent="0.2">
      <c r="A30" s="572"/>
      <c r="B30" s="573"/>
      <c r="C30" s="574"/>
      <c r="E30" s="89"/>
      <c r="F30" s="398"/>
    </row>
    <row r="31" spans="1:7" s="90" customFormat="1" x14ac:dyDescent="0.2">
      <c r="A31" s="572"/>
      <c r="B31" s="573"/>
      <c r="C31" s="574"/>
      <c r="E31" s="89"/>
      <c r="F31" s="398"/>
    </row>
    <row r="32" spans="1:7" x14ac:dyDescent="0.2">
      <c r="A32" s="572"/>
      <c r="B32" s="573"/>
      <c r="C32" s="574"/>
      <c r="E32" s="89"/>
      <c r="F32" s="398"/>
    </row>
    <row r="33" spans="1:6" x14ac:dyDescent="0.2">
      <c r="A33" s="572"/>
      <c r="B33" s="573"/>
      <c r="C33" s="574"/>
      <c r="E33" s="89"/>
      <c r="F33" s="398"/>
    </row>
    <row r="34" spans="1:6" s="90" customFormat="1" x14ac:dyDescent="0.2">
      <c r="A34" s="572"/>
      <c r="B34" s="573"/>
      <c r="C34" s="574"/>
      <c r="E34" s="89"/>
      <c r="F34" s="398"/>
    </row>
    <row r="35" spans="1:6" x14ac:dyDescent="0.2">
      <c r="A35" s="572"/>
      <c r="B35" s="573"/>
      <c r="C35" s="574"/>
      <c r="E35" s="89"/>
      <c r="F35" s="398"/>
    </row>
    <row r="36" spans="1:6" x14ac:dyDescent="0.2">
      <c r="A36" s="572"/>
      <c r="B36" s="573"/>
      <c r="C36" s="574"/>
      <c r="E36" s="89"/>
      <c r="F36" s="398"/>
    </row>
    <row r="37" spans="1:6" ht="13.35" customHeight="1" x14ac:dyDescent="0.2">
      <c r="A37" s="572"/>
      <c r="B37" s="573"/>
      <c r="C37" s="574"/>
      <c r="E37" s="89"/>
      <c r="F37" s="398"/>
    </row>
    <row r="38" spans="1:6" x14ac:dyDescent="0.2">
      <c r="A38" s="572"/>
      <c r="B38" s="573"/>
      <c r="C38" s="574"/>
      <c r="E38" s="89"/>
      <c r="F38" s="398"/>
    </row>
    <row r="39" spans="1:6" x14ac:dyDescent="0.2">
      <c r="A39" s="572"/>
      <c r="B39" s="573"/>
      <c r="C39" s="574"/>
      <c r="E39" s="89"/>
      <c r="F39" s="398"/>
    </row>
    <row r="40" spans="1:6" x14ac:dyDescent="0.2">
      <c r="A40" s="572"/>
      <c r="B40" s="573"/>
      <c r="C40" s="574"/>
      <c r="E40" s="89"/>
      <c r="F40" s="398"/>
    </row>
    <row r="41" spans="1:6" x14ac:dyDescent="0.2">
      <c r="A41" s="572"/>
      <c r="B41" s="573"/>
      <c r="C41" s="574"/>
      <c r="E41" s="89"/>
      <c r="F41" s="398"/>
    </row>
    <row r="42" spans="1:6" ht="15" customHeight="1" x14ac:dyDescent="0.2">
      <c r="A42" s="572"/>
      <c r="B42" s="573"/>
      <c r="C42" s="574"/>
      <c r="E42" s="89"/>
      <c r="F42" s="398"/>
    </row>
    <row r="43" spans="1:6" x14ac:dyDescent="0.2">
      <c r="A43" s="572"/>
      <c r="B43" s="573"/>
      <c r="C43" s="574"/>
      <c r="E43" s="89"/>
      <c r="F43" s="398"/>
    </row>
    <row r="44" spans="1:6" ht="13.5" thickBot="1" x14ac:dyDescent="0.25">
      <c r="A44" s="572"/>
      <c r="B44" s="573"/>
      <c r="C44" s="574"/>
      <c r="E44" s="89"/>
    </row>
    <row r="45" spans="1:6" x14ac:dyDescent="0.2">
      <c r="A45" s="575" t="s">
        <v>130</v>
      </c>
      <c r="B45" s="576"/>
      <c r="C45" s="452"/>
    </row>
    <row r="46" spans="1:6" x14ac:dyDescent="0.2">
      <c r="A46" s="563" t="s">
        <v>131</v>
      </c>
      <c r="B46" s="564"/>
      <c r="C46" s="448">
        <f>C45*0.22</f>
        <v>0</v>
      </c>
      <c r="D46" s="78"/>
    </row>
    <row r="47" spans="1:6" ht="13.5" thickBot="1" x14ac:dyDescent="0.25">
      <c r="A47" s="577" t="s">
        <v>132</v>
      </c>
      <c r="B47" s="578"/>
      <c r="C47" s="449">
        <f>C46+C45</f>
        <v>0</v>
      </c>
      <c r="D47" s="78"/>
    </row>
    <row r="48" spans="1:6" ht="13.5" thickBot="1" x14ac:dyDescent="0.25">
      <c r="A48" s="91"/>
      <c r="B48" s="91"/>
      <c r="C48" s="92"/>
      <c r="D48" s="78"/>
    </row>
    <row r="49" spans="1:7" x14ac:dyDescent="0.2">
      <c r="A49" s="579" t="s">
        <v>260</v>
      </c>
      <c r="B49" s="580"/>
      <c r="C49" s="581"/>
      <c r="D49" s="78"/>
    </row>
    <row r="50" spans="1:7" x14ac:dyDescent="0.2">
      <c r="A50" s="446" t="s">
        <v>312</v>
      </c>
      <c r="B50" s="447" t="str">
        <f ca="1">B101</f>
        <v>ZP</v>
      </c>
      <c r="C50" s="474">
        <f>C101</f>
        <v>0</v>
      </c>
      <c r="D50" s="74" t="s">
        <v>344</v>
      </c>
      <c r="E50" s="437"/>
      <c r="G50" s="437"/>
    </row>
    <row r="51" spans="1:7" x14ac:dyDescent="0.2">
      <c r="A51" s="446" t="s">
        <v>319</v>
      </c>
      <c r="B51" s="447" t="str">
        <f>B102</f>
        <v>EE za TČ</v>
      </c>
      <c r="C51" s="474">
        <f t="shared" ref="C51:C52" si="0">C102</f>
        <v>0</v>
      </c>
      <c r="D51" s="74" t="s">
        <v>359</v>
      </c>
      <c r="E51" s="437"/>
      <c r="G51" s="437"/>
    </row>
    <row r="52" spans="1:7" x14ac:dyDescent="0.2">
      <c r="A52" s="446" t="s">
        <v>339</v>
      </c>
      <c r="B52" s="447" t="s">
        <v>331</v>
      </c>
      <c r="C52" s="474">
        <f t="shared" si="0"/>
        <v>0</v>
      </c>
      <c r="E52" s="437"/>
      <c r="G52" s="437"/>
    </row>
    <row r="53" spans="1:7" ht="15" x14ac:dyDescent="0.2">
      <c r="A53" s="570" t="s">
        <v>320</v>
      </c>
      <c r="B53" s="571"/>
      <c r="C53" s="439">
        <f ca="1">B17</f>
        <v>5.0585515999999997E-2</v>
      </c>
      <c r="D53" s="457"/>
      <c r="E53" s="437"/>
      <c r="G53" s="437"/>
    </row>
    <row r="54" spans="1:7" x14ac:dyDescent="0.2">
      <c r="A54" s="570" t="s">
        <v>321</v>
      </c>
      <c r="B54" s="571"/>
      <c r="C54" s="439">
        <f ca="1">B22</f>
        <v>0.11114219233424499</v>
      </c>
      <c r="E54" s="437"/>
      <c r="G54" s="437"/>
    </row>
    <row r="55" spans="1:7" x14ac:dyDescent="0.2">
      <c r="A55" s="570" t="s">
        <v>337</v>
      </c>
      <c r="B55" s="571"/>
      <c r="C55" s="460"/>
      <c r="E55" s="437"/>
      <c r="G55" s="437"/>
    </row>
    <row r="56" spans="1:7" x14ac:dyDescent="0.2">
      <c r="A56" s="563" t="s">
        <v>324</v>
      </c>
      <c r="B56" s="564"/>
      <c r="C56" s="440">
        <f ca="1">C12-C50</f>
        <v>143743</v>
      </c>
      <c r="D56" s="93"/>
      <c r="E56" s="437"/>
      <c r="G56" s="437"/>
    </row>
    <row r="57" spans="1:7" x14ac:dyDescent="0.2">
      <c r="A57" s="563" t="s">
        <v>325</v>
      </c>
      <c r="B57" s="564"/>
      <c r="C57" s="441">
        <f>(-1)*C51</f>
        <v>0</v>
      </c>
      <c r="D57" s="93"/>
      <c r="E57" s="437"/>
      <c r="G57" s="437"/>
    </row>
    <row r="58" spans="1:7" x14ac:dyDescent="0.2">
      <c r="A58" s="563" t="s">
        <v>338</v>
      </c>
      <c r="B58" s="564"/>
      <c r="C58" s="441">
        <f>(-1)*C52</f>
        <v>0</v>
      </c>
      <c r="D58" s="93"/>
      <c r="E58" s="437"/>
      <c r="G58" s="437"/>
    </row>
    <row r="59" spans="1:7" x14ac:dyDescent="0.2">
      <c r="A59" s="570" t="s">
        <v>341</v>
      </c>
      <c r="B59" s="571"/>
      <c r="C59" s="442">
        <f ca="1">C50*C53+C51*C54+C52*C55</f>
        <v>0</v>
      </c>
      <c r="D59" s="74" t="s">
        <v>340</v>
      </c>
      <c r="E59" s="437"/>
      <c r="G59" s="437"/>
    </row>
    <row r="60" spans="1:7" x14ac:dyDescent="0.2">
      <c r="A60" s="399" t="s">
        <v>332</v>
      </c>
      <c r="B60" s="400"/>
      <c r="C60" s="443">
        <f ca="1">C16-C59</f>
        <v>7271.3138263879991</v>
      </c>
      <c r="E60" s="437"/>
      <c r="G60" s="437"/>
    </row>
    <row r="61" spans="1:7" x14ac:dyDescent="0.2">
      <c r="A61" s="399" t="s">
        <v>333</v>
      </c>
      <c r="B61" s="400"/>
      <c r="C61" s="444">
        <f ca="1">C60/C16</f>
        <v>1</v>
      </c>
      <c r="E61" s="437"/>
      <c r="G61" s="437"/>
    </row>
    <row r="62" spans="1:7" x14ac:dyDescent="0.2">
      <c r="A62" s="94"/>
      <c r="C62" s="95"/>
      <c r="E62" s="437"/>
      <c r="G62" s="437"/>
    </row>
    <row r="63" spans="1:7" x14ac:dyDescent="0.2">
      <c r="A63" s="563" t="s">
        <v>342</v>
      </c>
      <c r="B63" s="564"/>
      <c r="C63" s="96"/>
      <c r="D63" s="74" t="s">
        <v>335</v>
      </c>
      <c r="E63" s="437"/>
      <c r="G63" s="437"/>
    </row>
    <row r="64" spans="1:7" x14ac:dyDescent="0.2">
      <c r="A64" s="563" t="s">
        <v>133</v>
      </c>
      <c r="B64" s="564"/>
      <c r="C64" s="439">
        <f ca="1">B22</f>
        <v>0.11114219233424499</v>
      </c>
      <c r="E64" s="437"/>
      <c r="G64" s="437"/>
    </row>
    <row r="65" spans="1:7" x14ac:dyDescent="0.2">
      <c r="A65" s="563" t="s">
        <v>134</v>
      </c>
      <c r="B65" s="564"/>
      <c r="C65" s="440">
        <f ca="1">C18-C63</f>
        <v>47908.852221164896</v>
      </c>
      <c r="D65" s="274"/>
      <c r="E65" s="437"/>
      <c r="G65" s="437"/>
    </row>
    <row r="66" spans="1:7" x14ac:dyDescent="0.2">
      <c r="A66" s="563" t="s">
        <v>135</v>
      </c>
      <c r="B66" s="564"/>
      <c r="C66" s="442">
        <f ca="1">C63*C64</f>
        <v>0</v>
      </c>
      <c r="E66" s="437"/>
      <c r="G66" s="437"/>
    </row>
    <row r="67" spans="1:7" x14ac:dyDescent="0.2">
      <c r="A67" s="401" t="s">
        <v>334</v>
      </c>
      <c r="B67" s="402"/>
      <c r="C67" s="443">
        <f ca="1">C21-C66</f>
        <v>5324.6948680776295</v>
      </c>
      <c r="E67" s="437"/>
      <c r="G67" s="437"/>
    </row>
    <row r="68" spans="1:7" x14ac:dyDescent="0.2">
      <c r="A68" s="563" t="s">
        <v>12</v>
      </c>
      <c r="B68" s="564"/>
      <c r="C68" s="444">
        <f ca="1">C65/C18</f>
        <v>1</v>
      </c>
      <c r="E68" s="437"/>
      <c r="G68" s="437"/>
    </row>
    <row r="69" spans="1:7" x14ac:dyDescent="0.2">
      <c r="A69" s="94"/>
      <c r="C69" s="95"/>
      <c r="E69" s="437"/>
      <c r="G69" s="437"/>
    </row>
    <row r="70" spans="1:7" x14ac:dyDescent="0.2">
      <c r="A70" s="563" t="s">
        <v>136</v>
      </c>
      <c r="B70" s="564"/>
      <c r="C70" s="97"/>
      <c r="E70" s="437"/>
      <c r="G70" s="437"/>
    </row>
    <row r="71" spans="1:7" ht="15" x14ac:dyDescent="0.3">
      <c r="A71" s="563" t="s">
        <v>138</v>
      </c>
      <c r="B71" s="564"/>
      <c r="C71" s="450">
        <f ca="1">1-C70/B23</f>
        <v>1</v>
      </c>
      <c r="E71" s="437"/>
      <c r="G71" s="437"/>
    </row>
    <row r="72" spans="1:7" ht="15.75" thickBot="1" x14ac:dyDescent="0.35">
      <c r="A72" s="471" t="s">
        <v>137</v>
      </c>
      <c r="B72" s="472"/>
      <c r="C72" s="451">
        <f ca="1">B23-C70</f>
        <v>2574.6</v>
      </c>
      <c r="E72" s="437"/>
      <c r="G72" s="437"/>
    </row>
    <row r="73" spans="1:7" ht="13.5" thickBot="1" x14ac:dyDescent="0.25">
      <c r="C73" s="90"/>
      <c r="E73" s="437"/>
      <c r="G73" s="437"/>
    </row>
    <row r="74" spans="1:7" ht="13.5" thickBot="1" x14ac:dyDescent="0.25">
      <c r="A74" s="565" t="s">
        <v>258</v>
      </c>
      <c r="B74" s="566"/>
      <c r="C74" s="98">
        <f ca="1">C60+C67+C72</f>
        <v>15170.608694465629</v>
      </c>
      <c r="E74" s="437"/>
      <c r="G74" s="437"/>
    </row>
    <row r="75" spans="1:7" ht="13.5" thickBot="1" x14ac:dyDescent="0.25">
      <c r="A75" s="567" t="s">
        <v>9</v>
      </c>
      <c r="B75" s="568"/>
      <c r="C75" s="99">
        <f ca="1">C94</f>
        <v>168672.70504688707</v>
      </c>
      <c r="E75" s="437"/>
      <c r="G75" s="437"/>
    </row>
    <row r="77" spans="1:7" x14ac:dyDescent="0.2">
      <c r="A77" s="569" t="s">
        <v>8</v>
      </c>
      <c r="B77" s="569"/>
      <c r="C77" s="569"/>
    </row>
    <row r="78" spans="1:7" x14ac:dyDescent="0.2">
      <c r="A78" s="100" t="s">
        <v>7</v>
      </c>
      <c r="B78" s="100" t="s">
        <v>6</v>
      </c>
      <c r="C78" s="100" t="s">
        <v>5</v>
      </c>
    </row>
    <row r="79" spans="1:7" x14ac:dyDescent="0.2">
      <c r="A79" s="101">
        <v>1</v>
      </c>
      <c r="B79" s="102">
        <f t="shared" ref="B79:B93" ca="1" si="1">$C$74</f>
        <v>15170.608694465629</v>
      </c>
      <c r="C79" s="103">
        <f t="shared" ref="C79:C93" ca="1" si="2">B79/(1+$B$96)^A79</f>
        <v>14587.123744678489</v>
      </c>
      <c r="E79" s="437"/>
      <c r="G79" s="437"/>
    </row>
    <row r="80" spans="1:7" x14ac:dyDescent="0.2">
      <c r="A80" s="101">
        <v>2</v>
      </c>
      <c r="B80" s="102">
        <f t="shared" ca="1" si="1"/>
        <v>15170.608694465629</v>
      </c>
      <c r="C80" s="103">
        <f t="shared" ca="1" si="2"/>
        <v>14026.080523729315</v>
      </c>
      <c r="E80" s="437"/>
      <c r="G80" s="437"/>
    </row>
    <row r="81" spans="1:7" x14ac:dyDescent="0.2">
      <c r="A81" s="101">
        <v>3</v>
      </c>
      <c r="B81" s="102">
        <f t="shared" ca="1" si="1"/>
        <v>15170.608694465629</v>
      </c>
      <c r="C81" s="103">
        <f t="shared" ca="1" si="2"/>
        <v>13486.615888201266</v>
      </c>
      <c r="E81" s="437"/>
      <c r="G81" s="437"/>
    </row>
    <row r="82" spans="1:7" x14ac:dyDescent="0.2">
      <c r="A82" s="101">
        <v>4</v>
      </c>
      <c r="B82" s="102">
        <f t="shared" ca="1" si="1"/>
        <v>15170.608694465629</v>
      </c>
      <c r="C82" s="103">
        <f t="shared" ca="1" si="2"/>
        <v>12967.899892501215</v>
      </c>
      <c r="E82" s="437"/>
      <c r="G82" s="437"/>
    </row>
    <row r="83" spans="1:7" x14ac:dyDescent="0.2">
      <c r="A83" s="101">
        <v>5</v>
      </c>
      <c r="B83" s="102">
        <f t="shared" ca="1" si="1"/>
        <v>15170.608694465629</v>
      </c>
      <c r="C83" s="103">
        <f t="shared" ca="1" si="2"/>
        <v>12469.134512020399</v>
      </c>
      <c r="E83" s="437"/>
      <c r="G83" s="437"/>
    </row>
    <row r="84" spans="1:7" x14ac:dyDescent="0.2">
      <c r="A84" s="101">
        <v>6</v>
      </c>
      <c r="B84" s="102">
        <f t="shared" ca="1" si="1"/>
        <v>15170.608694465629</v>
      </c>
      <c r="C84" s="103">
        <f t="shared" ca="1" si="2"/>
        <v>11989.552415404229</v>
      </c>
      <c r="E84" s="437"/>
      <c r="G84" s="437"/>
    </row>
    <row r="85" spans="1:7" x14ac:dyDescent="0.2">
      <c r="A85" s="101">
        <v>7</v>
      </c>
      <c r="B85" s="102">
        <f t="shared" ca="1" si="1"/>
        <v>15170.608694465629</v>
      </c>
      <c r="C85" s="103">
        <f t="shared" ca="1" si="2"/>
        <v>11528.415784042529</v>
      </c>
      <c r="E85" s="437"/>
      <c r="G85" s="437"/>
    </row>
    <row r="86" spans="1:7" x14ac:dyDescent="0.2">
      <c r="A86" s="101">
        <v>8</v>
      </c>
      <c r="B86" s="102">
        <f t="shared" ca="1" si="1"/>
        <v>15170.608694465629</v>
      </c>
      <c r="C86" s="103">
        <f t="shared" ca="1" si="2"/>
        <v>11085.015176963969</v>
      </c>
    </row>
    <row r="87" spans="1:7" x14ac:dyDescent="0.2">
      <c r="A87" s="101">
        <v>9</v>
      </c>
      <c r="B87" s="102">
        <f t="shared" ca="1" si="1"/>
        <v>15170.608694465629</v>
      </c>
      <c r="C87" s="103">
        <f t="shared" ca="1" si="2"/>
        <v>10658.66843938843</v>
      </c>
    </row>
    <row r="88" spans="1:7" x14ac:dyDescent="0.2">
      <c r="A88" s="101">
        <v>10</v>
      </c>
      <c r="B88" s="102">
        <f t="shared" ca="1" si="1"/>
        <v>15170.608694465629</v>
      </c>
      <c r="C88" s="103">
        <f t="shared" ca="1" si="2"/>
        <v>10248.719653258106</v>
      </c>
    </row>
    <row r="89" spans="1:7" x14ac:dyDescent="0.2">
      <c r="A89" s="101">
        <v>11</v>
      </c>
      <c r="B89" s="102">
        <f t="shared" ca="1" si="1"/>
        <v>15170.608694465629</v>
      </c>
      <c r="C89" s="103">
        <f t="shared" ca="1" si="2"/>
        <v>9854.5381281327955</v>
      </c>
    </row>
    <row r="90" spans="1:7" x14ac:dyDescent="0.2">
      <c r="A90" s="101">
        <v>12</v>
      </c>
      <c r="B90" s="102">
        <f t="shared" ca="1" si="1"/>
        <v>15170.608694465629</v>
      </c>
      <c r="C90" s="103">
        <f t="shared" ca="1" si="2"/>
        <v>9475.5174308969163</v>
      </c>
    </row>
    <row r="91" spans="1:7" x14ac:dyDescent="0.2">
      <c r="A91" s="101">
        <v>13</v>
      </c>
      <c r="B91" s="102">
        <f t="shared" ca="1" si="1"/>
        <v>15170.608694465629</v>
      </c>
      <c r="C91" s="103">
        <f t="shared" ca="1" si="2"/>
        <v>9111.0744527854949</v>
      </c>
    </row>
    <row r="92" spans="1:7" x14ac:dyDescent="0.2">
      <c r="A92" s="101">
        <v>14</v>
      </c>
      <c r="B92" s="102">
        <f t="shared" ca="1" si="1"/>
        <v>15170.608694465629</v>
      </c>
      <c r="C92" s="103">
        <f t="shared" ca="1" si="2"/>
        <v>8760.6485122937465</v>
      </c>
    </row>
    <row r="93" spans="1:7" x14ac:dyDescent="0.2">
      <c r="A93" s="101">
        <v>15</v>
      </c>
      <c r="B93" s="102">
        <f t="shared" ca="1" si="1"/>
        <v>15170.608694465629</v>
      </c>
      <c r="C93" s="103">
        <f t="shared" ca="1" si="2"/>
        <v>8423.7004925901401</v>
      </c>
    </row>
    <row r="94" spans="1:7" x14ac:dyDescent="0.2">
      <c r="A94" s="562" t="s">
        <v>4</v>
      </c>
      <c r="B94" s="562"/>
      <c r="C94" s="104">
        <f ca="1">SUM(C79:C93)</f>
        <v>168672.70504688707</v>
      </c>
    </row>
    <row r="96" spans="1:7" x14ac:dyDescent="0.2">
      <c r="A96" s="105" t="s">
        <v>3</v>
      </c>
      <c r="B96" s="106">
        <v>0.04</v>
      </c>
    </row>
    <row r="98" spans="1:4" x14ac:dyDescent="0.2">
      <c r="A98" s="74" t="s">
        <v>139</v>
      </c>
    </row>
    <row r="100" spans="1:4" ht="43.5" customHeight="1" x14ac:dyDescent="0.2">
      <c r="A100" s="107"/>
      <c r="B100" s="107" t="s">
        <v>190</v>
      </c>
      <c r="C100" s="108" t="s">
        <v>181</v>
      </c>
    </row>
    <row r="101" spans="1:4" x14ac:dyDescent="0.2">
      <c r="A101" s="445" t="s">
        <v>313</v>
      </c>
      <c r="B101" s="464" t="str">
        <f ca="1">B8</f>
        <v>ZP</v>
      </c>
      <c r="C101" s="109"/>
    </row>
    <row r="102" spans="1:4" x14ac:dyDescent="0.2">
      <c r="A102" s="445" t="s">
        <v>314</v>
      </c>
      <c r="B102" s="74" t="s">
        <v>360</v>
      </c>
      <c r="C102" s="109"/>
      <c r="D102" s="435"/>
    </row>
    <row r="103" spans="1:4" x14ac:dyDescent="0.2">
      <c r="A103" s="445" t="s">
        <v>315</v>
      </c>
      <c r="B103" s="445"/>
      <c r="C103" s="109"/>
      <c r="D103" s="110"/>
    </row>
    <row r="104" spans="1:4" x14ac:dyDescent="0.2">
      <c r="A104" s="445" t="s">
        <v>316</v>
      </c>
      <c r="B104" s="445"/>
      <c r="C104" s="109"/>
      <c r="D104" s="110"/>
    </row>
    <row r="105" spans="1:4" x14ac:dyDescent="0.2">
      <c r="A105" s="445" t="s">
        <v>317</v>
      </c>
      <c r="B105" s="445"/>
      <c r="C105" s="109"/>
    </row>
    <row r="106" spans="1:4" x14ac:dyDescent="0.2">
      <c r="A106" s="445" t="s">
        <v>318</v>
      </c>
      <c r="B106" s="445"/>
      <c r="C106" s="109"/>
    </row>
    <row r="107" spans="1:4" x14ac:dyDescent="0.2">
      <c r="A107" s="107" t="s">
        <v>5</v>
      </c>
      <c r="B107" s="107" t="s">
        <v>5</v>
      </c>
      <c r="C107" s="335">
        <f>SUM(C101:C106)</f>
        <v>0</v>
      </c>
      <c r="D107" s="435"/>
    </row>
    <row r="109" spans="1:4" x14ac:dyDescent="0.2">
      <c r="B109" s="465"/>
      <c r="C109" s="465"/>
    </row>
    <row r="110" spans="1:4" x14ac:dyDescent="0.2">
      <c r="B110" s="463"/>
      <c r="C110" s="463"/>
    </row>
    <row r="111" spans="1:4" x14ac:dyDescent="0.2">
      <c r="B111" s="463"/>
      <c r="C111" s="463"/>
    </row>
  </sheetData>
  <mergeCells count="49">
    <mergeCell ref="A71:B71"/>
    <mergeCell ref="A74:B74"/>
    <mergeCell ref="A75:B75"/>
    <mergeCell ref="A77:C77"/>
    <mergeCell ref="A94:B94"/>
    <mergeCell ref="A70:B70"/>
    <mergeCell ref="A49:C49"/>
    <mergeCell ref="A53:B53"/>
    <mergeCell ref="A54:B54"/>
    <mergeCell ref="A56:B56"/>
    <mergeCell ref="A57:B57"/>
    <mergeCell ref="A59:B59"/>
    <mergeCell ref="A63:B63"/>
    <mergeCell ref="A64:B64"/>
    <mergeCell ref="A65:B65"/>
    <mergeCell ref="A66:B66"/>
    <mergeCell ref="A68:B68"/>
    <mergeCell ref="A55:B55"/>
    <mergeCell ref="A58:B58"/>
    <mergeCell ref="A47:B47"/>
    <mergeCell ref="A36:C36"/>
    <mergeCell ref="A37:C37"/>
    <mergeCell ref="A38:C38"/>
    <mergeCell ref="A39:C39"/>
    <mergeCell ref="A40:C40"/>
    <mergeCell ref="A41:C41"/>
    <mergeCell ref="A42:C42"/>
    <mergeCell ref="A43:C43"/>
    <mergeCell ref="A44:C44"/>
    <mergeCell ref="A45:B45"/>
    <mergeCell ref="A46:B46"/>
    <mergeCell ref="A35:C35"/>
    <mergeCell ref="B8:C8"/>
    <mergeCell ref="A10:C10"/>
    <mergeCell ref="A25:C25"/>
    <mergeCell ref="A27:C27"/>
    <mergeCell ref="A28:C28"/>
    <mergeCell ref="A29:C29"/>
    <mergeCell ref="A30:C30"/>
    <mergeCell ref="A31:C31"/>
    <mergeCell ref="A32:C32"/>
    <mergeCell ref="A33:C33"/>
    <mergeCell ref="A34:C34"/>
    <mergeCell ref="B7:C7"/>
    <mergeCell ref="A1:B1"/>
    <mergeCell ref="A3:C3"/>
    <mergeCell ref="B4:C4"/>
    <mergeCell ref="B5:C5"/>
    <mergeCell ref="B6:C6"/>
  </mergeCells>
  <conditionalFormatting sqref="C71">
    <cfRule type="cellIs" dxfId="16" priority="1" operator="lessThan">
      <formula>0</formula>
    </cfRule>
  </conditionalFormatting>
  <pageMargins left="0.70866141732283472" right="0.70866141732283472" top="0.74803149606299213" bottom="0.74803149606299213" header="0.31496062992125984" footer="0.31496062992125984"/>
  <pageSetup paperSize="9" scale="43" fitToHeight="0" orientation="portrait" r:id="rId1"/>
  <headerFooter>
    <oddFooter>&amp;L&amp;A&amp;R&amp;P/&amp;N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G111"/>
  <sheetViews>
    <sheetView zoomScale="110" zoomScaleNormal="110" zoomScaleSheetLayoutView="110" zoomScalePageLayoutView="110" workbookViewId="0">
      <selection activeCell="F97" sqref="F97"/>
    </sheetView>
  </sheetViews>
  <sheetFormatPr defaultColWidth="9.140625" defaultRowHeight="12.75" x14ac:dyDescent="0.2"/>
  <cols>
    <col min="1" max="1" width="48.28515625" style="74" customWidth="1"/>
    <col min="2" max="2" width="23.7109375" style="74" customWidth="1"/>
    <col min="3" max="3" width="20.85546875" style="74" customWidth="1"/>
    <col min="4" max="4" width="28" style="74" customWidth="1"/>
    <col min="5" max="5" width="21" style="74" customWidth="1"/>
    <col min="6" max="6" width="9.140625" style="74"/>
    <col min="7" max="7" width="14.5703125" style="74" customWidth="1"/>
    <col min="8" max="16384" width="9.140625" style="74"/>
  </cols>
  <sheetData>
    <row r="1" spans="1:7" ht="18.75" x14ac:dyDescent="0.3">
      <c r="A1" s="582" t="s">
        <v>2</v>
      </c>
      <c r="B1" s="582"/>
      <c r="E1" s="75"/>
    </row>
    <row r="2" spans="1:7" ht="13.5" thickBot="1" x14ac:dyDescent="0.25">
      <c r="C2" s="76"/>
      <c r="E2" s="75"/>
    </row>
    <row r="3" spans="1:7" x14ac:dyDescent="0.2">
      <c r="A3" s="579" t="s">
        <v>31</v>
      </c>
      <c r="B3" s="580"/>
      <c r="C3" s="581"/>
    </row>
    <row r="4" spans="1:7" ht="33" customHeight="1" x14ac:dyDescent="0.2">
      <c r="A4" s="77" t="s">
        <v>30</v>
      </c>
      <c r="B4" s="583" t="str">
        <f ca="1">VLOOKUP($B$6,'Referenčne količine'!$B$3:$AM$7,2,)</f>
        <v>Osnovna šola in vzgojni dom Veržej</v>
      </c>
      <c r="C4" s="584"/>
    </row>
    <row r="5" spans="1:7" x14ac:dyDescent="0.2">
      <c r="A5" s="77" t="s">
        <v>29</v>
      </c>
      <c r="B5" s="585" t="str">
        <f ca="1">VLOOKUP($B$6,'Referenčne količine'!$B$3:$AM$7,3,)</f>
        <v>Puščenjakova ulica 7</v>
      </c>
      <c r="C5" s="586"/>
    </row>
    <row r="6" spans="1:7" x14ac:dyDescent="0.2">
      <c r="A6" s="77" t="s">
        <v>28</v>
      </c>
      <c r="B6" s="585" t="str">
        <f ca="1">RIGHT(CELL("filename",A1),4)</f>
        <v>OB03</v>
      </c>
      <c r="C6" s="586"/>
    </row>
    <row r="7" spans="1:7" x14ac:dyDescent="0.2">
      <c r="A7" s="77" t="s">
        <v>27</v>
      </c>
      <c r="B7" s="585">
        <f ca="1">VLOOKUP($B$6,'Referenčne količine'!$B$3:$AM$7,6,)</f>
        <v>3334.5</v>
      </c>
      <c r="C7" s="586"/>
      <c r="F7" s="78"/>
      <c r="G7" s="78"/>
    </row>
    <row r="8" spans="1:7" ht="13.5" thickBot="1" x14ac:dyDescent="0.25">
      <c r="A8" s="79" t="s">
        <v>26</v>
      </c>
      <c r="B8" s="587" t="str">
        <f ca="1">VLOOKUP($B$6,'Referenčne količine'!$B$3:$AM$7,15,)</f>
        <v>ELKO</v>
      </c>
      <c r="C8" s="588"/>
    </row>
    <row r="9" spans="1:7" ht="13.5" thickBot="1" x14ac:dyDescent="0.25"/>
    <row r="10" spans="1:7" x14ac:dyDescent="0.2">
      <c r="A10" s="589" t="s">
        <v>259</v>
      </c>
      <c r="B10" s="590"/>
      <c r="C10" s="591"/>
    </row>
    <row r="11" spans="1:7" ht="26.25" thickBot="1" x14ac:dyDescent="0.25">
      <c r="A11" s="80" t="s">
        <v>127</v>
      </c>
      <c r="B11" s="70" t="s">
        <v>120</v>
      </c>
      <c r="C11" s="81" t="s">
        <v>128</v>
      </c>
    </row>
    <row r="12" spans="1:7" x14ac:dyDescent="0.2">
      <c r="A12" s="68" t="s">
        <v>330</v>
      </c>
      <c r="B12" s="82">
        <f ca="1">VLOOKUP($B$6,'Referenčne količine'!$B$3:$AM$7,20,)</f>
        <v>442716.66666666698</v>
      </c>
      <c r="C12" s="82">
        <f ca="1">VLOOKUP($B$6,'Referenčne količine'!$B$3:$AM$7,23,)</f>
        <v>442716.66666666698</v>
      </c>
      <c r="E12" s="83"/>
      <c r="F12" s="83"/>
      <c r="G12" s="83"/>
    </row>
    <row r="13" spans="1:7" x14ac:dyDescent="0.2">
      <c r="A13" s="69" t="s">
        <v>308</v>
      </c>
      <c r="B13" s="85"/>
      <c r="C13" s="85">
        <f ca="1">VLOOKUP($B$6,'Referenčne količine'!$B$3:$AM$7,25,)</f>
        <v>442716.66666666698</v>
      </c>
      <c r="E13" s="78"/>
      <c r="F13" s="78"/>
      <c r="G13" s="78"/>
    </row>
    <row r="14" spans="1:7" x14ac:dyDescent="0.2">
      <c r="A14" s="393" t="s">
        <v>309</v>
      </c>
      <c r="B14" s="85"/>
      <c r="C14" s="85">
        <f ca="1">VLOOKUP($B$6,'Referenčne količine'!$B$3:$AM$7,26,)</f>
        <v>0</v>
      </c>
      <c r="E14" s="78"/>
      <c r="F14" s="78"/>
      <c r="G14" s="78"/>
    </row>
    <row r="15" spans="1:7" x14ac:dyDescent="0.2">
      <c r="A15" s="69" t="s">
        <v>310</v>
      </c>
      <c r="B15" s="85"/>
      <c r="C15" s="85">
        <f ca="1">VLOOKUP($B$6,'Referenčne količine'!$B$3:$AM$7,27,)</f>
        <v>0</v>
      </c>
      <c r="E15" s="83"/>
      <c r="F15" s="83"/>
      <c r="G15" s="83"/>
    </row>
    <row r="16" spans="1:7" x14ac:dyDescent="0.2">
      <c r="A16" s="69" t="s">
        <v>118</v>
      </c>
      <c r="B16" s="408">
        <f ca="1">VLOOKUP($B$6,'Referenčne količine'!$B$3:$AM$7,19,)</f>
        <v>33385.93595190483</v>
      </c>
      <c r="C16" s="408">
        <f ca="1">VLOOKUP($B$6,'Referenčne količine'!$B$3:$AM$7,19,)</f>
        <v>33385.93595190483</v>
      </c>
      <c r="E16" s="83"/>
      <c r="F16" s="83"/>
      <c r="G16" s="83"/>
    </row>
    <row r="17" spans="1:7" ht="13.5" thickBot="1" x14ac:dyDescent="0.25">
      <c r="A17" s="438" t="s">
        <v>311</v>
      </c>
      <c r="B17" s="87">
        <f ca="1">VLOOKUP($B$6,'Referenčne količine'!$B$3:$AM$7,21,)/1000</f>
        <v>7.5411518168666508E-2</v>
      </c>
      <c r="C17" s="87">
        <f ca="1">VLOOKUP($B$6,'Referenčne količine'!$B$3:$AM$7,21,)/1000</f>
        <v>7.5411518168666508E-2</v>
      </c>
      <c r="E17" s="83"/>
      <c r="F17" s="83"/>
      <c r="G17" s="83"/>
    </row>
    <row r="18" spans="1:7" x14ac:dyDescent="0.2">
      <c r="A18" s="68" t="s">
        <v>121</v>
      </c>
      <c r="B18" s="82">
        <f ca="1">VLOOKUP($B$6,'Referenčne količine'!$B$3:$AM$7,28,)</f>
        <v>94022.333333333299</v>
      </c>
      <c r="C18" s="485">
        <f ca="1">VLOOKUP($B$6,'Referenčne količine'!$B$3:$AM$7,32)</f>
        <v>94022.333333333299</v>
      </c>
      <c r="D18" s="486"/>
      <c r="E18" s="83"/>
      <c r="F18" s="83"/>
      <c r="G18" s="83"/>
    </row>
    <row r="19" spans="1:7" x14ac:dyDescent="0.2">
      <c r="A19" s="71" t="s">
        <v>122</v>
      </c>
      <c r="B19" s="85"/>
      <c r="C19" s="84">
        <f ca="1">VLOOKUP($B$6,'Referenčne količine'!$B$3:$AM$7,34,)</f>
        <v>0</v>
      </c>
      <c r="E19" s="83"/>
      <c r="F19" s="83"/>
      <c r="G19" s="83"/>
    </row>
    <row r="20" spans="1:7" x14ac:dyDescent="0.2">
      <c r="A20" s="71" t="s">
        <v>123</v>
      </c>
      <c r="B20" s="84"/>
      <c r="C20" s="84">
        <f ca="1">VLOOKUP($B$6,'Referenčne količine'!$B$3:$AM$7,35,)</f>
        <v>0</v>
      </c>
      <c r="E20" s="83"/>
      <c r="F20" s="83"/>
      <c r="G20" s="83"/>
    </row>
    <row r="21" spans="1:7" x14ac:dyDescent="0.2">
      <c r="A21" s="72" t="s">
        <v>124</v>
      </c>
      <c r="B21" s="88">
        <f ca="1">VLOOKUP($B$6,'Referenčne količine'!$B$3:$AM$7,29,)</f>
        <v>13036.678005035661</v>
      </c>
      <c r="C21" s="86">
        <f ca="1">VLOOKUP($B$6,'Referenčne količine'!$B$3:$AM$7,33,)</f>
        <v>13036.678005035661</v>
      </c>
      <c r="D21" s="273"/>
      <c r="E21" s="83"/>
      <c r="F21" s="83"/>
      <c r="G21" s="83"/>
    </row>
    <row r="22" spans="1:7" ht="13.5" thickBot="1" x14ac:dyDescent="0.25">
      <c r="A22" s="73" t="s">
        <v>125</v>
      </c>
      <c r="B22" s="363">
        <f ca="1">VLOOKUP($B$6,'Referenčne količine'!$B$3:$AM$7,30,)</f>
        <v>0.13865512099999999</v>
      </c>
      <c r="C22" s="363">
        <f ca="1">VLOOKUP($B$6,'Referenčne količine'!$B$3:$AM$7,30,)</f>
        <v>0.13865512099999999</v>
      </c>
      <c r="E22" s="83"/>
      <c r="F22" s="83"/>
      <c r="G22" s="83"/>
    </row>
    <row r="23" spans="1:7" ht="14.45" customHeight="1" thickBot="1" x14ac:dyDescent="0.25">
      <c r="A23" s="411" t="s">
        <v>126</v>
      </c>
      <c r="B23" s="412">
        <f ca="1">VLOOKUP($B$6,'Referenčne količine'!$B$3:$AM$7,37,)</f>
        <v>5835.375</v>
      </c>
      <c r="C23" s="413"/>
      <c r="E23" s="83"/>
      <c r="F23" s="83"/>
    </row>
    <row r="24" spans="1:7" ht="13.5" thickBot="1" x14ac:dyDescent="0.25">
      <c r="F24" s="397"/>
    </row>
    <row r="25" spans="1:7" x14ac:dyDescent="0.2">
      <c r="A25" s="579" t="s">
        <v>129</v>
      </c>
      <c r="B25" s="580"/>
      <c r="C25" s="581"/>
      <c r="F25" s="398"/>
    </row>
    <row r="26" spans="1:7" x14ac:dyDescent="0.2">
      <c r="A26" s="394"/>
      <c r="B26" s="395"/>
      <c r="C26" s="396"/>
      <c r="D26" s="89"/>
      <c r="F26" s="398"/>
    </row>
    <row r="27" spans="1:7" ht="13.35" customHeight="1" x14ac:dyDescent="0.2">
      <c r="A27" s="572"/>
      <c r="B27" s="573"/>
      <c r="C27" s="574"/>
      <c r="E27" s="89"/>
      <c r="F27" s="398"/>
    </row>
    <row r="28" spans="1:7" x14ac:dyDescent="0.2">
      <c r="A28" s="572"/>
      <c r="B28" s="573"/>
      <c r="C28" s="574"/>
      <c r="E28" s="89"/>
      <c r="F28" s="398"/>
    </row>
    <row r="29" spans="1:7" x14ac:dyDescent="0.2">
      <c r="A29" s="572"/>
      <c r="B29" s="573"/>
      <c r="C29" s="574"/>
      <c r="E29" s="89"/>
      <c r="F29" s="398"/>
    </row>
    <row r="30" spans="1:7" x14ac:dyDescent="0.2">
      <c r="A30" s="572"/>
      <c r="B30" s="573"/>
      <c r="C30" s="574"/>
      <c r="E30" s="89"/>
      <c r="F30" s="398"/>
    </row>
    <row r="31" spans="1:7" s="90" customFormat="1" x14ac:dyDescent="0.2">
      <c r="A31" s="572"/>
      <c r="B31" s="573"/>
      <c r="C31" s="574"/>
      <c r="E31" s="89"/>
      <c r="F31" s="398"/>
    </row>
    <row r="32" spans="1:7" x14ac:dyDescent="0.2">
      <c r="A32" s="572"/>
      <c r="B32" s="573"/>
      <c r="C32" s="574"/>
      <c r="E32" s="89"/>
      <c r="F32" s="398"/>
    </row>
    <row r="33" spans="1:6" x14ac:dyDescent="0.2">
      <c r="A33" s="572"/>
      <c r="B33" s="573"/>
      <c r="C33" s="574"/>
      <c r="E33" s="89"/>
      <c r="F33" s="398"/>
    </row>
    <row r="34" spans="1:6" s="90" customFormat="1" x14ac:dyDescent="0.2">
      <c r="A34" s="572"/>
      <c r="B34" s="573"/>
      <c r="C34" s="574"/>
      <c r="E34" s="89"/>
      <c r="F34" s="398"/>
    </row>
    <row r="35" spans="1:6" x14ac:dyDescent="0.2">
      <c r="A35" s="572"/>
      <c r="B35" s="573"/>
      <c r="C35" s="574"/>
      <c r="E35" s="89"/>
      <c r="F35" s="398"/>
    </row>
    <row r="36" spans="1:6" x14ac:dyDescent="0.2">
      <c r="A36" s="572"/>
      <c r="B36" s="573"/>
      <c r="C36" s="574"/>
      <c r="E36" s="89"/>
      <c r="F36" s="398"/>
    </row>
    <row r="37" spans="1:6" ht="13.35" customHeight="1" x14ac:dyDescent="0.2">
      <c r="A37" s="572"/>
      <c r="B37" s="573"/>
      <c r="C37" s="574"/>
      <c r="E37" s="89"/>
      <c r="F37" s="398"/>
    </row>
    <row r="38" spans="1:6" x14ac:dyDescent="0.2">
      <c r="A38" s="572"/>
      <c r="B38" s="573"/>
      <c r="C38" s="574"/>
      <c r="E38" s="89"/>
      <c r="F38" s="398"/>
    </row>
    <row r="39" spans="1:6" x14ac:dyDescent="0.2">
      <c r="A39" s="572"/>
      <c r="B39" s="573"/>
      <c r="C39" s="574"/>
      <c r="E39" s="89"/>
      <c r="F39" s="398"/>
    </row>
    <row r="40" spans="1:6" x14ac:dyDescent="0.2">
      <c r="A40" s="572"/>
      <c r="B40" s="573"/>
      <c r="C40" s="574"/>
      <c r="E40" s="89"/>
      <c r="F40" s="398"/>
    </row>
    <row r="41" spans="1:6" x14ac:dyDescent="0.2">
      <c r="A41" s="572"/>
      <c r="B41" s="573"/>
      <c r="C41" s="574"/>
      <c r="E41" s="89"/>
      <c r="F41" s="398"/>
    </row>
    <row r="42" spans="1:6" ht="15" customHeight="1" x14ac:dyDescent="0.2">
      <c r="A42" s="572"/>
      <c r="B42" s="573"/>
      <c r="C42" s="574"/>
      <c r="E42" s="89"/>
      <c r="F42" s="398"/>
    </row>
    <row r="43" spans="1:6" x14ac:dyDescent="0.2">
      <c r="A43" s="572"/>
      <c r="B43" s="573"/>
      <c r="C43" s="574"/>
      <c r="E43" s="89"/>
      <c r="F43" s="398"/>
    </row>
    <row r="44" spans="1:6" ht="13.5" thickBot="1" x14ac:dyDescent="0.25">
      <c r="A44" s="572"/>
      <c r="B44" s="573"/>
      <c r="C44" s="574"/>
      <c r="E44" s="89"/>
    </row>
    <row r="45" spans="1:6" x14ac:dyDescent="0.2">
      <c r="A45" s="575" t="s">
        <v>130</v>
      </c>
      <c r="B45" s="576"/>
      <c r="C45" s="452"/>
    </row>
    <row r="46" spans="1:6" x14ac:dyDescent="0.2">
      <c r="A46" s="563" t="s">
        <v>131</v>
      </c>
      <c r="B46" s="564"/>
      <c r="C46" s="448">
        <f>C45*0.22</f>
        <v>0</v>
      </c>
      <c r="D46" s="78"/>
    </row>
    <row r="47" spans="1:6" ht="13.5" thickBot="1" x14ac:dyDescent="0.25">
      <c r="A47" s="577" t="s">
        <v>132</v>
      </c>
      <c r="B47" s="578"/>
      <c r="C47" s="449">
        <f>C46+C45</f>
        <v>0</v>
      </c>
      <c r="D47" s="78"/>
    </row>
    <row r="48" spans="1:6" ht="13.5" thickBot="1" x14ac:dyDescent="0.25">
      <c r="A48" s="91"/>
      <c r="B48" s="91"/>
      <c r="C48" s="92"/>
      <c r="D48" s="78"/>
    </row>
    <row r="49" spans="1:7" x14ac:dyDescent="0.2">
      <c r="A49" s="579" t="s">
        <v>260</v>
      </c>
      <c r="B49" s="580"/>
      <c r="C49" s="581"/>
      <c r="D49" s="78"/>
    </row>
    <row r="50" spans="1:7" x14ac:dyDescent="0.2">
      <c r="A50" s="446" t="s">
        <v>312</v>
      </c>
      <c r="B50" s="447" t="str">
        <f ca="1">B101</f>
        <v>ELKO</v>
      </c>
      <c r="C50" s="474">
        <f>C101</f>
        <v>0</v>
      </c>
      <c r="D50" s="74" t="s">
        <v>344</v>
      </c>
      <c r="E50" s="437"/>
      <c r="G50" s="437"/>
    </row>
    <row r="51" spans="1:7" x14ac:dyDescent="0.2">
      <c r="A51" s="446" t="s">
        <v>319</v>
      </c>
      <c r="B51" s="447" t="str">
        <f>B102</f>
        <v>EE za TČ</v>
      </c>
      <c r="C51" s="474">
        <f t="shared" ref="C51:C52" si="0">C102</f>
        <v>0</v>
      </c>
      <c r="D51" s="74" t="s">
        <v>359</v>
      </c>
      <c r="E51" s="437"/>
      <c r="G51" s="437"/>
    </row>
    <row r="52" spans="1:7" x14ac:dyDescent="0.2">
      <c r="A52" s="446" t="s">
        <v>339</v>
      </c>
      <c r="B52" s="447" t="s">
        <v>331</v>
      </c>
      <c r="C52" s="474">
        <f t="shared" si="0"/>
        <v>0</v>
      </c>
      <c r="E52" s="437"/>
      <c r="G52" s="437"/>
    </row>
    <row r="53" spans="1:7" ht="15" x14ac:dyDescent="0.2">
      <c r="A53" s="570" t="s">
        <v>320</v>
      </c>
      <c r="B53" s="571"/>
      <c r="C53" s="439">
        <f ca="1">B17</f>
        <v>7.5411518168666508E-2</v>
      </c>
      <c r="D53" s="457"/>
      <c r="E53" s="437"/>
      <c r="G53" s="437"/>
    </row>
    <row r="54" spans="1:7" x14ac:dyDescent="0.2">
      <c r="A54" s="570" t="s">
        <v>321</v>
      </c>
      <c r="B54" s="571"/>
      <c r="C54" s="439">
        <f ca="1">B22</f>
        <v>0.13865512099999999</v>
      </c>
      <c r="E54" s="437"/>
      <c r="G54" s="437"/>
    </row>
    <row r="55" spans="1:7" x14ac:dyDescent="0.2">
      <c r="A55" s="570" t="s">
        <v>337</v>
      </c>
      <c r="B55" s="571"/>
      <c r="C55" s="460"/>
      <c r="E55" s="437"/>
      <c r="G55" s="437"/>
    </row>
    <row r="56" spans="1:7" x14ac:dyDescent="0.2">
      <c r="A56" s="563" t="s">
        <v>324</v>
      </c>
      <c r="B56" s="564"/>
      <c r="C56" s="440">
        <f ca="1">C12-C50</f>
        <v>442716.66666666698</v>
      </c>
      <c r="D56" s="93"/>
      <c r="E56" s="437"/>
      <c r="G56" s="437"/>
    </row>
    <row r="57" spans="1:7" x14ac:dyDescent="0.2">
      <c r="A57" s="563" t="s">
        <v>325</v>
      </c>
      <c r="B57" s="564"/>
      <c r="C57" s="441">
        <f>(-1)*C51</f>
        <v>0</v>
      </c>
      <c r="D57" s="93"/>
      <c r="E57" s="437"/>
      <c r="G57" s="437"/>
    </row>
    <row r="58" spans="1:7" x14ac:dyDescent="0.2">
      <c r="A58" s="563" t="s">
        <v>338</v>
      </c>
      <c r="B58" s="564"/>
      <c r="C58" s="441">
        <f>(-1)*C52</f>
        <v>0</v>
      </c>
      <c r="D58" s="93"/>
      <c r="E58" s="437"/>
      <c r="G58" s="437"/>
    </row>
    <row r="59" spans="1:7" x14ac:dyDescent="0.2">
      <c r="A59" s="570" t="s">
        <v>341</v>
      </c>
      <c r="B59" s="571"/>
      <c r="C59" s="442">
        <f ca="1">C50*C53+C51*C54+C52*C55</f>
        <v>0</v>
      </c>
      <c r="D59" s="74" t="s">
        <v>340</v>
      </c>
      <c r="E59" s="437"/>
      <c r="G59" s="437"/>
    </row>
    <row r="60" spans="1:7" x14ac:dyDescent="0.2">
      <c r="A60" s="399" t="s">
        <v>332</v>
      </c>
      <c r="B60" s="400"/>
      <c r="C60" s="443">
        <f ca="1">C16-C59</f>
        <v>33385.93595190483</v>
      </c>
      <c r="E60" s="437"/>
      <c r="G60" s="437"/>
    </row>
    <row r="61" spans="1:7" x14ac:dyDescent="0.2">
      <c r="A61" s="399" t="s">
        <v>333</v>
      </c>
      <c r="B61" s="400"/>
      <c r="C61" s="444">
        <f ca="1">C60/C16</f>
        <v>1</v>
      </c>
      <c r="E61" s="437"/>
      <c r="G61" s="437"/>
    </row>
    <row r="62" spans="1:7" x14ac:dyDescent="0.2">
      <c r="A62" s="94"/>
      <c r="C62" s="95"/>
      <c r="E62" s="437"/>
      <c r="G62" s="437"/>
    </row>
    <row r="63" spans="1:7" x14ac:dyDescent="0.2">
      <c r="A63" s="563" t="s">
        <v>342</v>
      </c>
      <c r="B63" s="564"/>
      <c r="C63" s="96"/>
      <c r="D63" s="74" t="s">
        <v>335</v>
      </c>
      <c r="E63" s="437"/>
      <c r="G63" s="437"/>
    </row>
    <row r="64" spans="1:7" x14ac:dyDescent="0.2">
      <c r="A64" s="563" t="s">
        <v>133</v>
      </c>
      <c r="B64" s="564"/>
      <c r="C64" s="439">
        <f ca="1">B22</f>
        <v>0.13865512099999999</v>
      </c>
      <c r="E64" s="437"/>
      <c r="G64" s="437"/>
    </row>
    <row r="65" spans="1:7" x14ac:dyDescent="0.2">
      <c r="A65" s="563" t="s">
        <v>134</v>
      </c>
      <c r="B65" s="564"/>
      <c r="C65" s="440">
        <f ca="1">C18-C63</f>
        <v>94022.333333333299</v>
      </c>
      <c r="D65" s="274"/>
      <c r="E65" s="437"/>
      <c r="G65" s="437"/>
    </row>
    <row r="66" spans="1:7" x14ac:dyDescent="0.2">
      <c r="A66" s="563" t="s">
        <v>135</v>
      </c>
      <c r="B66" s="564"/>
      <c r="C66" s="442">
        <f ca="1">C63*C64</f>
        <v>0</v>
      </c>
      <c r="E66" s="437"/>
      <c r="G66" s="437"/>
    </row>
    <row r="67" spans="1:7" x14ac:dyDescent="0.2">
      <c r="A67" s="401" t="s">
        <v>334</v>
      </c>
      <c r="B67" s="402"/>
      <c r="C67" s="443">
        <f ca="1">C21-C66</f>
        <v>13036.678005035661</v>
      </c>
      <c r="E67" s="437"/>
      <c r="G67" s="437"/>
    </row>
    <row r="68" spans="1:7" x14ac:dyDescent="0.2">
      <c r="A68" s="563" t="s">
        <v>12</v>
      </c>
      <c r="B68" s="564"/>
      <c r="C68" s="444">
        <f ca="1">C65/C18</f>
        <v>1</v>
      </c>
      <c r="E68" s="437"/>
      <c r="G68" s="437"/>
    </row>
    <row r="69" spans="1:7" x14ac:dyDescent="0.2">
      <c r="A69" s="94"/>
      <c r="C69" s="95"/>
      <c r="E69" s="437"/>
      <c r="G69" s="437"/>
    </row>
    <row r="70" spans="1:7" x14ac:dyDescent="0.2">
      <c r="A70" s="563" t="s">
        <v>136</v>
      </c>
      <c r="B70" s="564"/>
      <c r="C70" s="97"/>
      <c r="E70" s="437"/>
      <c r="G70" s="437"/>
    </row>
    <row r="71" spans="1:7" ht="15" x14ac:dyDescent="0.3">
      <c r="A71" s="563" t="s">
        <v>138</v>
      </c>
      <c r="B71" s="564"/>
      <c r="C71" s="450">
        <f ca="1">1-C70/B23</f>
        <v>1</v>
      </c>
      <c r="E71" s="437"/>
      <c r="G71" s="437"/>
    </row>
    <row r="72" spans="1:7" ht="15.75" thickBot="1" x14ac:dyDescent="0.35">
      <c r="A72" s="471" t="s">
        <v>137</v>
      </c>
      <c r="B72" s="472"/>
      <c r="C72" s="451">
        <f ca="1">B23-C70</f>
        <v>5835.375</v>
      </c>
      <c r="E72" s="437"/>
      <c r="G72" s="437"/>
    </row>
    <row r="73" spans="1:7" ht="13.5" thickBot="1" x14ac:dyDescent="0.25">
      <c r="C73" s="90"/>
      <c r="E73" s="437"/>
      <c r="G73" s="437"/>
    </row>
    <row r="74" spans="1:7" ht="13.5" thickBot="1" x14ac:dyDescent="0.25">
      <c r="A74" s="565" t="s">
        <v>258</v>
      </c>
      <c r="B74" s="566"/>
      <c r="C74" s="98">
        <f ca="1">C60+C67+C72</f>
        <v>52257.988956940491</v>
      </c>
      <c r="E74" s="437"/>
      <c r="G74" s="437"/>
    </row>
    <row r="75" spans="1:7" ht="13.5" thickBot="1" x14ac:dyDescent="0.25">
      <c r="A75" s="567" t="s">
        <v>9</v>
      </c>
      <c r="B75" s="568"/>
      <c r="C75" s="99">
        <f ca="1">C94</f>
        <v>581024.56764922757</v>
      </c>
      <c r="E75" s="437"/>
      <c r="G75" s="437"/>
    </row>
    <row r="77" spans="1:7" x14ac:dyDescent="0.2">
      <c r="A77" s="569" t="s">
        <v>8</v>
      </c>
      <c r="B77" s="569"/>
      <c r="C77" s="569"/>
    </row>
    <row r="78" spans="1:7" x14ac:dyDescent="0.2">
      <c r="A78" s="100" t="s">
        <v>7</v>
      </c>
      <c r="B78" s="100" t="s">
        <v>6</v>
      </c>
      <c r="C78" s="100" t="s">
        <v>5</v>
      </c>
    </row>
    <row r="79" spans="1:7" x14ac:dyDescent="0.2">
      <c r="A79" s="101">
        <v>1</v>
      </c>
      <c r="B79" s="102">
        <f t="shared" ref="B79:B93" ca="1" si="1">$C$74</f>
        <v>52257.988956940491</v>
      </c>
      <c r="C79" s="103">
        <f t="shared" ref="C79:C93" ca="1" si="2">B79/(1+$B$96)^A79</f>
        <v>50248.066304750471</v>
      </c>
      <c r="E79" s="437"/>
      <c r="G79" s="437"/>
    </row>
    <row r="80" spans="1:7" x14ac:dyDescent="0.2">
      <c r="A80" s="101">
        <v>2</v>
      </c>
      <c r="B80" s="102">
        <f t="shared" ca="1" si="1"/>
        <v>52257.988956940491</v>
      </c>
      <c r="C80" s="103">
        <f t="shared" ca="1" si="2"/>
        <v>48315.44836995237</v>
      </c>
      <c r="E80" s="437"/>
      <c r="G80" s="437"/>
    </row>
    <row r="81" spans="1:7" x14ac:dyDescent="0.2">
      <c r="A81" s="101">
        <v>3</v>
      </c>
      <c r="B81" s="102">
        <f t="shared" ca="1" si="1"/>
        <v>52257.988956940491</v>
      </c>
      <c r="C81" s="103">
        <f t="shared" ca="1" si="2"/>
        <v>46457.161894184974</v>
      </c>
      <c r="E81" s="437"/>
      <c r="G81" s="437"/>
    </row>
    <row r="82" spans="1:7" x14ac:dyDescent="0.2">
      <c r="A82" s="101">
        <v>4</v>
      </c>
      <c r="B82" s="102">
        <f t="shared" ca="1" si="1"/>
        <v>52257.988956940491</v>
      </c>
      <c r="C82" s="103">
        <f t="shared" ca="1" si="2"/>
        <v>44670.347975177858</v>
      </c>
      <c r="E82" s="437"/>
      <c r="G82" s="437"/>
    </row>
    <row r="83" spans="1:7" x14ac:dyDescent="0.2">
      <c r="A83" s="101">
        <v>5</v>
      </c>
      <c r="B83" s="102">
        <f t="shared" ca="1" si="1"/>
        <v>52257.988956940491</v>
      </c>
      <c r="C83" s="103">
        <f t="shared" ca="1" si="2"/>
        <v>42952.257668440245</v>
      </c>
      <c r="E83" s="437"/>
      <c r="G83" s="437"/>
    </row>
    <row r="84" spans="1:7" x14ac:dyDescent="0.2">
      <c r="A84" s="101">
        <v>6</v>
      </c>
      <c r="B84" s="102">
        <f t="shared" ca="1" si="1"/>
        <v>52257.988956940491</v>
      </c>
      <c r="C84" s="103">
        <f t="shared" ca="1" si="2"/>
        <v>41300.24775811562</v>
      </c>
      <c r="E84" s="437"/>
      <c r="G84" s="437"/>
    </row>
    <row r="85" spans="1:7" x14ac:dyDescent="0.2">
      <c r="A85" s="101">
        <v>7</v>
      </c>
      <c r="B85" s="102">
        <f t="shared" ca="1" si="1"/>
        <v>52257.988956940491</v>
      </c>
      <c r="C85" s="103">
        <f t="shared" ca="1" si="2"/>
        <v>39711.77669049579</v>
      </c>
      <c r="E85" s="437"/>
      <c r="G85" s="437"/>
    </row>
    <row r="86" spans="1:7" x14ac:dyDescent="0.2">
      <c r="A86" s="101">
        <v>8</v>
      </c>
      <c r="B86" s="102">
        <f t="shared" ca="1" si="1"/>
        <v>52257.988956940491</v>
      </c>
      <c r="C86" s="103">
        <f t="shared" ca="1" si="2"/>
        <v>38184.40066393825</v>
      </c>
    </row>
    <row r="87" spans="1:7" x14ac:dyDescent="0.2">
      <c r="A87" s="101">
        <v>9</v>
      </c>
      <c r="B87" s="102">
        <f t="shared" ca="1" si="1"/>
        <v>52257.988956940491</v>
      </c>
      <c r="C87" s="103">
        <f t="shared" ca="1" si="2"/>
        <v>36715.769869171396</v>
      </c>
    </row>
    <row r="88" spans="1:7" x14ac:dyDescent="0.2">
      <c r="A88" s="101">
        <v>10</v>
      </c>
      <c r="B88" s="102">
        <f t="shared" ca="1" si="1"/>
        <v>52257.988956940491</v>
      </c>
      <c r="C88" s="103">
        <f t="shared" ca="1" si="2"/>
        <v>35303.624874203262</v>
      </c>
    </row>
    <row r="89" spans="1:7" x14ac:dyDescent="0.2">
      <c r="A89" s="101">
        <v>11</v>
      </c>
      <c r="B89" s="102">
        <f t="shared" ca="1" si="1"/>
        <v>52257.988956940491</v>
      </c>
      <c r="C89" s="103">
        <f t="shared" ca="1" si="2"/>
        <v>33945.793148272372</v>
      </c>
    </row>
    <row r="90" spans="1:7" x14ac:dyDescent="0.2">
      <c r="A90" s="101">
        <v>12</v>
      </c>
      <c r="B90" s="102">
        <f t="shared" ca="1" si="1"/>
        <v>52257.988956940491</v>
      </c>
      <c r="C90" s="103">
        <f t="shared" ca="1" si="2"/>
        <v>32640.185719492656</v>
      </c>
    </row>
    <row r="91" spans="1:7" x14ac:dyDescent="0.2">
      <c r="A91" s="101">
        <v>13</v>
      </c>
      <c r="B91" s="102">
        <f t="shared" ca="1" si="1"/>
        <v>52257.988956940491</v>
      </c>
      <c r="C91" s="103">
        <f t="shared" ca="1" si="2"/>
        <v>31384.793961050629</v>
      </c>
    </row>
    <row r="92" spans="1:7" x14ac:dyDescent="0.2">
      <c r="A92" s="101">
        <v>14</v>
      </c>
      <c r="B92" s="102">
        <f t="shared" ca="1" si="1"/>
        <v>52257.988956940491</v>
      </c>
      <c r="C92" s="103">
        <f t="shared" ca="1" si="2"/>
        <v>30177.686501010223</v>
      </c>
    </row>
    <row r="93" spans="1:7" x14ac:dyDescent="0.2">
      <c r="A93" s="101">
        <v>15</v>
      </c>
      <c r="B93" s="102">
        <f t="shared" ca="1" si="1"/>
        <v>52257.988956940491</v>
      </c>
      <c r="C93" s="103">
        <f t="shared" ca="1" si="2"/>
        <v>29017.006250971368</v>
      </c>
    </row>
    <row r="94" spans="1:7" x14ac:dyDescent="0.2">
      <c r="A94" s="562" t="s">
        <v>4</v>
      </c>
      <c r="B94" s="562"/>
      <c r="C94" s="104">
        <f ca="1">SUM(C79:C93)</f>
        <v>581024.56764922757</v>
      </c>
    </row>
    <row r="96" spans="1:7" x14ac:dyDescent="0.2">
      <c r="A96" s="105" t="s">
        <v>3</v>
      </c>
      <c r="B96" s="106">
        <v>0.04</v>
      </c>
    </row>
    <row r="98" spans="1:4" x14ac:dyDescent="0.2">
      <c r="A98" s="74" t="s">
        <v>139</v>
      </c>
    </row>
    <row r="100" spans="1:4" ht="43.5" customHeight="1" x14ac:dyDescent="0.2">
      <c r="A100" s="107"/>
      <c r="B100" s="107" t="s">
        <v>190</v>
      </c>
      <c r="C100" s="108" t="s">
        <v>181</v>
      </c>
    </row>
    <row r="101" spans="1:4" x14ac:dyDescent="0.2">
      <c r="A101" s="445" t="s">
        <v>313</v>
      </c>
      <c r="B101" s="464" t="str">
        <f ca="1">B8</f>
        <v>ELKO</v>
      </c>
      <c r="C101" s="109"/>
    </row>
    <row r="102" spans="1:4" x14ac:dyDescent="0.2">
      <c r="A102" s="445" t="s">
        <v>314</v>
      </c>
      <c r="B102" s="74" t="s">
        <v>360</v>
      </c>
      <c r="C102" s="109"/>
      <c r="D102" s="435"/>
    </row>
    <row r="103" spans="1:4" x14ac:dyDescent="0.2">
      <c r="A103" s="445" t="s">
        <v>315</v>
      </c>
      <c r="B103" s="445"/>
      <c r="C103" s="109"/>
      <c r="D103" s="110"/>
    </row>
    <row r="104" spans="1:4" x14ac:dyDescent="0.2">
      <c r="A104" s="445" t="s">
        <v>316</v>
      </c>
      <c r="B104" s="445"/>
      <c r="C104" s="109"/>
      <c r="D104" s="110"/>
    </row>
    <row r="105" spans="1:4" x14ac:dyDescent="0.2">
      <c r="A105" s="445" t="s">
        <v>317</v>
      </c>
      <c r="B105" s="445"/>
      <c r="C105" s="109"/>
    </row>
    <row r="106" spans="1:4" x14ac:dyDescent="0.2">
      <c r="A106" s="445" t="s">
        <v>318</v>
      </c>
      <c r="B106" s="445"/>
      <c r="C106" s="109"/>
    </row>
    <row r="107" spans="1:4" x14ac:dyDescent="0.2">
      <c r="A107" s="107" t="s">
        <v>5</v>
      </c>
      <c r="B107" s="107" t="s">
        <v>5</v>
      </c>
      <c r="C107" s="335">
        <f>SUM(C101:C106)</f>
        <v>0</v>
      </c>
      <c r="D107" s="435"/>
    </row>
    <row r="109" spans="1:4" x14ac:dyDescent="0.2">
      <c r="B109" s="465"/>
      <c r="C109" s="465"/>
    </row>
    <row r="110" spans="1:4" x14ac:dyDescent="0.2">
      <c r="B110" s="463"/>
      <c r="C110" s="463"/>
    </row>
    <row r="111" spans="1:4" x14ac:dyDescent="0.2">
      <c r="B111" s="463"/>
      <c r="C111" s="463"/>
    </row>
  </sheetData>
  <mergeCells count="49">
    <mergeCell ref="B7:C7"/>
    <mergeCell ref="A1:B1"/>
    <mergeCell ref="A3:C3"/>
    <mergeCell ref="B4:C4"/>
    <mergeCell ref="B5:C5"/>
    <mergeCell ref="B6:C6"/>
    <mergeCell ref="A35:C35"/>
    <mergeCell ref="B8:C8"/>
    <mergeCell ref="A10:C10"/>
    <mergeCell ref="A25:C25"/>
    <mergeCell ref="A27:C27"/>
    <mergeCell ref="A28:C28"/>
    <mergeCell ref="A29:C29"/>
    <mergeCell ref="A30:C30"/>
    <mergeCell ref="A31:C31"/>
    <mergeCell ref="A32:C32"/>
    <mergeCell ref="A33:C33"/>
    <mergeCell ref="A34:C34"/>
    <mergeCell ref="A47:B47"/>
    <mergeCell ref="A36:C36"/>
    <mergeCell ref="A37:C37"/>
    <mergeCell ref="A38:C38"/>
    <mergeCell ref="A39:C39"/>
    <mergeCell ref="A40:C40"/>
    <mergeCell ref="A41:C41"/>
    <mergeCell ref="A42:C42"/>
    <mergeCell ref="A43:C43"/>
    <mergeCell ref="A44:C44"/>
    <mergeCell ref="A45:B45"/>
    <mergeCell ref="A46:B46"/>
    <mergeCell ref="A66:B66"/>
    <mergeCell ref="A49:C49"/>
    <mergeCell ref="A53:B53"/>
    <mergeCell ref="A54:B54"/>
    <mergeCell ref="A55:B55"/>
    <mergeCell ref="A56:B56"/>
    <mergeCell ref="A57:B57"/>
    <mergeCell ref="A58:B58"/>
    <mergeCell ref="A59:B59"/>
    <mergeCell ref="A63:B63"/>
    <mergeCell ref="A64:B64"/>
    <mergeCell ref="A65:B65"/>
    <mergeCell ref="A94:B94"/>
    <mergeCell ref="A68:B68"/>
    <mergeCell ref="A70:B70"/>
    <mergeCell ref="A71:B71"/>
    <mergeCell ref="A74:B74"/>
    <mergeCell ref="A75:B75"/>
    <mergeCell ref="A77:C77"/>
  </mergeCells>
  <conditionalFormatting sqref="C71">
    <cfRule type="cellIs" dxfId="15" priority="1" operator="lessThan">
      <formula>0</formula>
    </cfRule>
  </conditionalFormatting>
  <pageMargins left="0.70866141732283472" right="0.70866141732283472" top="0.74803149606299213" bottom="0.74803149606299213" header="0.31496062992125984" footer="0.31496062992125984"/>
  <pageSetup paperSize="9" scale="43" fitToHeight="0" orientation="portrait" r:id="rId1"/>
  <headerFooter>
    <oddFooter>&amp;L&amp;A&amp;R&amp;P/&amp;N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M9"/>
  <sheetViews>
    <sheetView workbookViewId="0">
      <selection activeCell="J30" sqref="J30"/>
    </sheetView>
  </sheetViews>
  <sheetFormatPr defaultColWidth="8.85546875" defaultRowHeight="15" x14ac:dyDescent="0.25"/>
  <cols>
    <col min="3" max="3" width="19.42578125" customWidth="1"/>
    <col min="4" max="4" width="22.140625" bestFit="1" customWidth="1"/>
    <col min="5" max="6" width="19.42578125" customWidth="1"/>
    <col min="7" max="7" width="12.42578125" customWidth="1"/>
    <col min="8" max="8" width="20.28515625" customWidth="1"/>
    <col min="9" max="9" width="19.42578125" customWidth="1"/>
    <col min="10" max="10" width="22.85546875" customWidth="1"/>
    <col min="11" max="11" width="19" bestFit="1" customWidth="1"/>
    <col min="12" max="12" width="18.7109375" bestFit="1" customWidth="1"/>
    <col min="13" max="13" width="20.140625" bestFit="1" customWidth="1"/>
  </cols>
  <sheetData>
    <row r="1" spans="1:13" ht="18" x14ac:dyDescent="0.25">
      <c r="A1" s="594" t="s">
        <v>75</v>
      </c>
      <c r="B1" s="594"/>
      <c r="C1" s="594"/>
      <c r="D1" s="594"/>
      <c r="E1" s="594"/>
      <c r="F1" s="594"/>
      <c r="G1" s="594"/>
      <c r="H1" s="594"/>
      <c r="I1" s="594"/>
      <c r="J1" s="594"/>
    </row>
    <row r="2" spans="1:13" ht="15.75" x14ac:dyDescent="0.3">
      <c r="A2" s="28"/>
      <c r="B2" s="28"/>
      <c r="C2" s="26"/>
      <c r="D2" s="26"/>
      <c r="E2" s="26"/>
      <c r="F2" s="26"/>
      <c r="G2" s="26"/>
      <c r="H2" s="26"/>
      <c r="I2" s="26"/>
      <c r="J2" s="26"/>
    </row>
    <row r="3" spans="1:13" ht="50.25" customHeight="1" x14ac:dyDescent="0.3">
      <c r="A3" s="28"/>
      <c r="B3" s="28"/>
      <c r="C3" s="560" t="s">
        <v>328</v>
      </c>
      <c r="D3" s="561"/>
      <c r="E3" s="560" t="s">
        <v>329</v>
      </c>
      <c r="F3" s="561"/>
      <c r="G3" s="558" t="s">
        <v>302</v>
      </c>
      <c r="H3" s="558"/>
      <c r="I3" s="560" t="s">
        <v>83</v>
      </c>
      <c r="J3" s="561"/>
      <c r="K3" s="592" t="s">
        <v>296</v>
      </c>
      <c r="L3" s="559" t="s">
        <v>257</v>
      </c>
      <c r="M3" s="559" t="s">
        <v>295</v>
      </c>
    </row>
    <row r="4" spans="1:13" x14ac:dyDescent="0.25">
      <c r="A4" s="42" t="s">
        <v>35</v>
      </c>
      <c r="B4" s="41" t="s">
        <v>34</v>
      </c>
      <c r="C4" s="40" t="s">
        <v>23</v>
      </c>
      <c r="D4" s="40" t="s">
        <v>21</v>
      </c>
      <c r="E4" s="40" t="s">
        <v>23</v>
      </c>
      <c r="F4" s="40" t="s">
        <v>21</v>
      </c>
      <c r="G4" s="40" t="s">
        <v>23</v>
      </c>
      <c r="H4" s="40" t="s">
        <v>21</v>
      </c>
      <c r="I4" s="40" t="s">
        <v>33</v>
      </c>
      <c r="J4" s="40" t="s">
        <v>21</v>
      </c>
      <c r="K4" s="593"/>
      <c r="L4" s="559"/>
      <c r="M4" s="559"/>
    </row>
    <row r="5" spans="1:13" ht="15.75" x14ac:dyDescent="0.3">
      <c r="A5" s="3">
        <v>1</v>
      </c>
      <c r="B5" s="37" t="s">
        <v>192</v>
      </c>
      <c r="C5" s="404">
        <f ca="1">'OB01'!C56</f>
        <v>145660.40000000002</v>
      </c>
      <c r="D5" s="405">
        <f ca="1">C5*'OB01'!C53</f>
        <v>21216.952128160006</v>
      </c>
      <c r="E5" s="404">
        <f>'OB01'!C57</f>
        <v>0</v>
      </c>
      <c r="F5" s="458">
        <f ca="1">E5*'OB01'!C54</f>
        <v>0</v>
      </c>
      <c r="G5" s="404">
        <f ca="1">'OB01'!C65</f>
        <v>31033</v>
      </c>
      <c r="H5" s="406">
        <f ca="1">G5*'OB01'!C64</f>
        <v>4522.0670464149071</v>
      </c>
      <c r="I5" s="414">
        <f ca="1">'OB01'!$C$71</f>
        <v>1</v>
      </c>
      <c r="J5" s="405">
        <f ca="1">'OB01'!$C$72</f>
        <v>2429.7000000000003</v>
      </c>
      <c r="K5" s="405">
        <f>'OB01'!$C$45</f>
        <v>0</v>
      </c>
      <c r="L5" s="33">
        <f ca="1">D5+F5+H5+J5</f>
        <v>28168.719174574915</v>
      </c>
      <c r="M5" s="405">
        <f ca="1">'OB01'!$C$94</f>
        <v>313190.73325086676</v>
      </c>
    </row>
    <row r="6" spans="1:13" ht="15.75" x14ac:dyDescent="0.3">
      <c r="A6" s="3">
        <v>2</v>
      </c>
      <c r="B6" s="37" t="s">
        <v>191</v>
      </c>
      <c r="C6" s="404">
        <f ca="1">'OB02'!C56</f>
        <v>143743</v>
      </c>
      <c r="D6" s="405">
        <f ca="1">C6*'OB02'!C53</f>
        <v>7271.3138263879991</v>
      </c>
      <c r="E6" s="404">
        <f>'OB02'!C57</f>
        <v>0</v>
      </c>
      <c r="F6" s="405">
        <f ca="1">E6*'OB02'!C54</f>
        <v>0</v>
      </c>
      <c r="G6" s="484">
        <f ca="1">'OB02'!C65</f>
        <v>47908.852221164896</v>
      </c>
      <c r="H6" s="406">
        <f ca="1">G6*'OB02'!C64</f>
        <v>5324.6948680776295</v>
      </c>
      <c r="I6" s="414">
        <f ca="1">'OB02'!$C$71</f>
        <v>1</v>
      </c>
      <c r="J6" s="405">
        <f ca="1">'OB02'!$C$72</f>
        <v>2574.6</v>
      </c>
      <c r="K6" s="405">
        <f>'OB02'!$C$45</f>
        <v>0</v>
      </c>
      <c r="L6" s="33">
        <f t="shared" ref="L6:L7" ca="1" si="0">D6+F6+H6+J6</f>
        <v>15170.608694465629</v>
      </c>
      <c r="M6" s="405">
        <f ca="1">'OB02'!$C$94</f>
        <v>168672.70504688707</v>
      </c>
    </row>
    <row r="7" spans="1:13" ht="15.75" x14ac:dyDescent="0.3">
      <c r="A7" s="3">
        <v>3</v>
      </c>
      <c r="B7" s="37" t="s">
        <v>358</v>
      </c>
      <c r="C7" s="404">
        <f ca="1">'OB03'!C56</f>
        <v>442716.66666666698</v>
      </c>
      <c r="D7" s="405">
        <f ca="1">C7*'OB03'!C53</f>
        <v>33385.93595190483</v>
      </c>
      <c r="E7" s="404">
        <f>'OB03'!C57</f>
        <v>0</v>
      </c>
      <c r="F7" s="405">
        <f ca="1">E7*'OB03'!C54</f>
        <v>0</v>
      </c>
      <c r="G7" s="484">
        <f ca="1">'OB03'!C65</f>
        <v>94022.333333333299</v>
      </c>
      <c r="H7" s="406">
        <f ca="1">G7*'OB03'!C64</f>
        <v>13036.678005035661</v>
      </c>
      <c r="I7" s="414">
        <f ca="1">'OB03'!$C$71</f>
        <v>1</v>
      </c>
      <c r="J7" s="405">
        <f ca="1">'OB03'!$C$72</f>
        <v>5835.375</v>
      </c>
      <c r="K7" s="405">
        <f>'OB03'!$C$45</f>
        <v>0</v>
      </c>
      <c r="L7" s="33">
        <f t="shared" ca="1" si="0"/>
        <v>52257.988956940491</v>
      </c>
      <c r="M7" s="405">
        <f ca="1">'OB03'!$C$94</f>
        <v>581024.56764922757</v>
      </c>
    </row>
    <row r="8" spans="1:13" x14ac:dyDescent="0.25">
      <c r="A8" s="556" t="s">
        <v>5</v>
      </c>
      <c r="B8" s="556"/>
      <c r="C8" s="31">
        <f t="shared" ref="C8:H8" ca="1" si="1">SUM(C5:C7)</f>
        <v>732120.066666667</v>
      </c>
      <c r="D8" s="31">
        <f t="shared" ca="1" si="1"/>
        <v>61874.201906452836</v>
      </c>
      <c r="E8" s="31">
        <f t="shared" si="1"/>
        <v>0</v>
      </c>
      <c r="F8" s="31">
        <f t="shared" ca="1" si="1"/>
        <v>0</v>
      </c>
      <c r="G8" s="31">
        <f t="shared" ca="1" si="1"/>
        <v>172964.1855544982</v>
      </c>
      <c r="H8" s="31">
        <f t="shared" ca="1" si="1"/>
        <v>22883.439919528199</v>
      </c>
      <c r="I8" s="415">
        <f ca="1">AVERAGE(I5:I7)</f>
        <v>1</v>
      </c>
      <c r="J8" s="407">
        <f ca="1">SUM(J5:J7)</f>
        <v>10839.674999999999</v>
      </c>
      <c r="K8" s="407">
        <f>SUM(K5:K7)</f>
        <v>0</v>
      </c>
      <c r="L8" s="407">
        <f ca="1">SUM(L5:L7)</f>
        <v>95597.316825981034</v>
      </c>
      <c r="M8" s="407">
        <f ca="1">SUM(M5:M7)</f>
        <v>1062888.0059469813</v>
      </c>
    </row>
    <row r="9" spans="1:13" ht="15.75" x14ac:dyDescent="0.3">
      <c r="A9" s="28"/>
      <c r="B9" s="28"/>
      <c r="C9" s="26"/>
      <c r="D9" s="26"/>
      <c r="E9" s="26"/>
      <c r="F9" s="26"/>
      <c r="G9" s="26"/>
      <c r="H9" s="26"/>
      <c r="I9" s="26"/>
      <c r="J9" s="26"/>
    </row>
  </sheetData>
  <mergeCells count="9">
    <mergeCell ref="M3:M4"/>
    <mergeCell ref="E3:F3"/>
    <mergeCell ref="A8:B8"/>
    <mergeCell ref="K3:K4"/>
    <mergeCell ref="A1:J1"/>
    <mergeCell ref="C3:D3"/>
    <mergeCell ref="G3:H3"/>
    <mergeCell ref="I3:J3"/>
    <mergeCell ref="L3:L4"/>
  </mergeCells>
  <pageMargins left="0.7" right="0.7" top="0.75" bottom="0.75" header="0.3" footer="0.3"/>
  <pageSetup paperSize="9" scale="5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pageSetUpPr fitToPage="1"/>
  </sheetPr>
  <dimension ref="A1:AK28"/>
  <sheetViews>
    <sheetView topLeftCell="S1" zoomScaleNormal="100" workbookViewId="0">
      <selection activeCell="AE15" sqref="AE15"/>
    </sheetView>
  </sheetViews>
  <sheetFormatPr defaultColWidth="9" defaultRowHeight="15" x14ac:dyDescent="0.25"/>
  <cols>
    <col min="1" max="1" width="5.42578125" style="183" customWidth="1"/>
    <col min="2" max="2" width="10.140625" style="183" customWidth="1"/>
    <col min="3" max="3" width="12.42578125" style="183" customWidth="1"/>
    <col min="4" max="4" width="40.85546875" style="183" customWidth="1"/>
    <col min="5" max="5" width="13.140625" style="183" customWidth="1"/>
    <col min="6" max="6" width="11.85546875" style="183" customWidth="1"/>
    <col min="7" max="7" width="16.7109375" style="183" customWidth="1"/>
    <col min="8" max="8" width="26.28515625" style="112" customWidth="1"/>
    <col min="9" max="9" width="13" style="112" customWidth="1"/>
    <col min="10" max="10" width="13.28515625" style="112" customWidth="1"/>
    <col min="11" max="11" width="15.28515625" style="112" customWidth="1"/>
    <col min="12" max="12" width="13" style="112" customWidth="1"/>
    <col min="13" max="13" width="13.28515625" style="112" customWidth="1"/>
    <col min="14" max="14" width="15.28515625" style="112" customWidth="1"/>
    <col min="15" max="15" width="17.7109375" style="112" customWidth="1"/>
    <col min="16" max="16" width="17.42578125" style="112" customWidth="1"/>
    <col min="17" max="17" width="15.140625" style="112" bestFit="1" customWidth="1"/>
    <col min="18" max="18" width="18.28515625" style="112" customWidth="1"/>
    <col min="19" max="19" width="12.28515625" style="112" customWidth="1"/>
    <col min="20" max="20" width="14.85546875" style="112" customWidth="1"/>
    <col min="21" max="21" width="14.28515625" style="112" customWidth="1"/>
    <col min="22" max="22" width="13.85546875" style="112" customWidth="1"/>
    <col min="23" max="24" width="15.7109375" style="112" customWidth="1"/>
    <col min="25" max="25" width="13.7109375" style="112" customWidth="1"/>
    <col min="26" max="26" width="13.28515625" style="112" customWidth="1"/>
    <col min="27" max="28" width="13" style="112" customWidth="1"/>
    <col min="29" max="30" width="13.28515625" style="112" customWidth="1"/>
    <col min="31" max="32" width="15.7109375" style="112" customWidth="1"/>
    <col min="33" max="33" width="14.7109375" style="112" customWidth="1"/>
    <col min="34" max="34" width="17" style="112" customWidth="1"/>
    <col min="35" max="35" width="18" style="112" customWidth="1"/>
    <col min="36" max="16384" width="9" style="113"/>
  </cols>
  <sheetData>
    <row r="1" spans="1:36" ht="18" x14ac:dyDescent="0.25">
      <c r="A1" s="111" t="s">
        <v>56</v>
      </c>
      <c r="B1" s="111"/>
      <c r="C1" s="111"/>
      <c r="D1" s="111"/>
      <c r="E1" s="111"/>
      <c r="F1" s="111"/>
      <c r="G1" s="111"/>
      <c r="H1" s="111"/>
      <c r="I1" s="111"/>
      <c r="J1" s="111"/>
      <c r="K1" s="111"/>
      <c r="L1" s="111"/>
      <c r="M1" s="111"/>
      <c r="N1" s="111"/>
      <c r="O1" s="111"/>
      <c r="P1" s="111"/>
      <c r="Q1" s="111"/>
    </row>
    <row r="2" spans="1:36" s="114" customFormat="1" ht="18.75" thickBot="1" x14ac:dyDescent="0.3">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row>
    <row r="3" spans="1:36" ht="18.75" thickBot="1" x14ac:dyDescent="0.3">
      <c r="A3" s="115" t="s">
        <v>45</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7"/>
    </row>
    <row r="4" spans="1:36" ht="15" customHeight="1" x14ac:dyDescent="0.25">
      <c r="A4" s="615" t="s">
        <v>35</v>
      </c>
      <c r="B4" s="617" t="s">
        <v>44</v>
      </c>
      <c r="C4" s="619" t="s">
        <v>140</v>
      </c>
      <c r="D4" s="622" t="s">
        <v>141</v>
      </c>
      <c r="E4" s="612" t="s">
        <v>43</v>
      </c>
      <c r="F4" s="613"/>
      <c r="G4" s="613"/>
      <c r="H4" s="613"/>
      <c r="I4" s="613"/>
      <c r="J4" s="613"/>
      <c r="K4" s="613"/>
      <c r="L4" s="613"/>
      <c r="M4" s="613"/>
      <c r="N4" s="613"/>
      <c r="O4" s="613"/>
      <c r="P4" s="613"/>
      <c r="Q4" s="614"/>
      <c r="R4" s="623" t="s">
        <v>42</v>
      </c>
      <c r="S4" s="624"/>
      <c r="T4" s="624"/>
      <c r="U4" s="624"/>
      <c r="V4" s="624"/>
      <c r="W4" s="624"/>
      <c r="X4" s="624"/>
      <c r="Y4" s="624"/>
      <c r="Z4" s="624"/>
      <c r="AA4" s="624"/>
      <c r="AB4" s="624"/>
      <c r="AC4" s="624"/>
      <c r="AD4" s="624"/>
      <c r="AE4" s="624"/>
      <c r="AF4" s="624"/>
      <c r="AG4" s="624"/>
      <c r="AH4" s="625"/>
      <c r="AI4" s="595" t="s">
        <v>41</v>
      </c>
    </row>
    <row r="5" spans="1:36" ht="45" customHeight="1" x14ac:dyDescent="0.25">
      <c r="A5" s="616"/>
      <c r="B5" s="618"/>
      <c r="C5" s="620"/>
      <c r="D5" s="622"/>
      <c r="E5" s="597" t="s">
        <v>187</v>
      </c>
      <c r="F5" s="597" t="s">
        <v>189</v>
      </c>
      <c r="G5" s="597" t="s">
        <v>188</v>
      </c>
      <c r="H5" s="606" t="s">
        <v>185</v>
      </c>
      <c r="I5" s="602"/>
      <c r="J5" s="602"/>
      <c r="K5" s="602"/>
      <c r="L5" s="602"/>
      <c r="M5" s="602"/>
      <c r="N5" s="602"/>
      <c r="O5" s="602"/>
      <c r="P5" s="602"/>
      <c r="Q5" s="603"/>
      <c r="R5" s="604" t="s">
        <v>186</v>
      </c>
      <c r="S5" s="606" t="s">
        <v>142</v>
      </c>
      <c r="T5" s="602"/>
      <c r="U5" s="602"/>
      <c r="V5" s="607"/>
      <c r="W5" s="606" t="s">
        <v>143</v>
      </c>
      <c r="X5" s="602"/>
      <c r="Y5" s="602"/>
      <c r="Z5" s="607"/>
      <c r="AA5" s="597" t="s">
        <v>144</v>
      </c>
      <c r="AB5" s="597" t="s">
        <v>145</v>
      </c>
      <c r="AC5" s="606" t="s">
        <v>146</v>
      </c>
      <c r="AD5" s="607"/>
      <c r="AE5" s="597" t="s">
        <v>147</v>
      </c>
      <c r="AF5" s="597" t="s">
        <v>148</v>
      </c>
      <c r="AG5" s="608" t="s">
        <v>149</v>
      </c>
      <c r="AH5" s="609"/>
      <c r="AI5" s="596"/>
    </row>
    <row r="6" spans="1:36" ht="64.5" customHeight="1" x14ac:dyDescent="0.25">
      <c r="A6" s="616"/>
      <c r="B6" s="618"/>
      <c r="C6" s="620"/>
      <c r="D6" s="622"/>
      <c r="E6" s="598"/>
      <c r="F6" s="598"/>
      <c r="G6" s="598"/>
      <c r="H6" s="334" t="s">
        <v>182</v>
      </c>
      <c r="I6" s="599" t="s">
        <v>353</v>
      </c>
      <c r="J6" s="600"/>
      <c r="K6" s="601"/>
      <c r="L6" s="626" t="s">
        <v>351</v>
      </c>
      <c r="M6" s="628"/>
      <c r="N6" s="627"/>
      <c r="O6" s="602" t="s">
        <v>150</v>
      </c>
      <c r="P6" s="602"/>
      <c r="Q6" s="603"/>
      <c r="R6" s="605"/>
      <c r="S6" s="599" t="s">
        <v>354</v>
      </c>
      <c r="T6" s="601"/>
      <c r="U6" s="626" t="s">
        <v>355</v>
      </c>
      <c r="V6" s="627"/>
      <c r="W6" s="118" t="s">
        <v>357</v>
      </c>
      <c r="X6" s="118" t="s">
        <v>115</v>
      </c>
      <c r="Y6" s="118" t="s">
        <v>116</v>
      </c>
      <c r="Z6" s="119" t="s">
        <v>117</v>
      </c>
      <c r="AA6" s="598"/>
      <c r="AB6" s="598"/>
      <c r="AC6" s="120" t="s">
        <v>354</v>
      </c>
      <c r="AD6" s="121" t="s">
        <v>355</v>
      </c>
      <c r="AE6" s="598"/>
      <c r="AF6" s="598"/>
      <c r="AG6" s="610"/>
      <c r="AH6" s="611"/>
      <c r="AI6" s="596"/>
    </row>
    <row r="7" spans="1:36" s="138" customFormat="1" ht="45" x14ac:dyDescent="0.25">
      <c r="A7" s="616"/>
      <c r="B7" s="618"/>
      <c r="C7" s="621"/>
      <c r="D7" s="622"/>
      <c r="E7" s="122" t="s">
        <v>23</v>
      </c>
      <c r="F7" s="123" t="s">
        <v>22</v>
      </c>
      <c r="G7" s="124" t="s">
        <v>21</v>
      </c>
      <c r="H7" s="125" t="s">
        <v>184</v>
      </c>
      <c r="I7" s="128" t="s">
        <v>152</v>
      </c>
      <c r="J7" s="128" t="s">
        <v>153</v>
      </c>
      <c r="K7" s="128" t="s">
        <v>154</v>
      </c>
      <c r="L7" s="129" t="s">
        <v>152</v>
      </c>
      <c r="M7" s="129" t="s">
        <v>153</v>
      </c>
      <c r="N7" s="129" t="s">
        <v>154</v>
      </c>
      <c r="O7" s="124" t="s">
        <v>352</v>
      </c>
      <c r="P7" s="124" t="s">
        <v>155</v>
      </c>
      <c r="Q7" s="126" t="s">
        <v>33</v>
      </c>
      <c r="R7" s="130" t="s">
        <v>23</v>
      </c>
      <c r="S7" s="131" t="s">
        <v>156</v>
      </c>
      <c r="T7" s="131" t="s">
        <v>157</v>
      </c>
      <c r="U7" s="132" t="s">
        <v>356</v>
      </c>
      <c r="V7" s="132" t="s">
        <v>157</v>
      </c>
      <c r="W7" s="123">
        <v>1</v>
      </c>
      <c r="X7" s="123">
        <v>1</v>
      </c>
      <c r="Y7" s="123">
        <v>1</v>
      </c>
      <c r="Z7" s="123">
        <v>1</v>
      </c>
      <c r="AA7" s="123" t="s">
        <v>23</v>
      </c>
      <c r="AB7" s="123" t="s">
        <v>23</v>
      </c>
      <c r="AC7" s="131" t="s">
        <v>23</v>
      </c>
      <c r="AD7" s="132" t="s">
        <v>23</v>
      </c>
      <c r="AE7" s="133" t="s">
        <v>21</v>
      </c>
      <c r="AF7" s="134" t="s">
        <v>21</v>
      </c>
      <c r="AG7" s="135" t="s">
        <v>23</v>
      </c>
      <c r="AH7" s="136" t="s">
        <v>21</v>
      </c>
      <c r="AI7" s="137" t="s">
        <v>21</v>
      </c>
    </row>
    <row r="8" spans="1:36" s="138" customFormat="1" x14ac:dyDescent="0.25">
      <c r="A8" s="139"/>
      <c r="B8" s="140"/>
      <c r="C8" s="140"/>
      <c r="D8" s="125"/>
      <c r="E8" s="122"/>
      <c r="F8" s="123"/>
      <c r="G8" s="124"/>
      <c r="H8" s="125"/>
      <c r="I8" s="128"/>
      <c r="J8" s="128"/>
      <c r="K8" s="128"/>
      <c r="L8" s="129"/>
      <c r="M8" s="129"/>
      <c r="N8" s="129"/>
      <c r="O8" s="124"/>
      <c r="P8" s="124"/>
      <c r="Q8" s="127"/>
      <c r="R8" s="130"/>
      <c r="S8" s="141"/>
      <c r="T8" s="142"/>
      <c r="U8" s="132"/>
      <c r="V8" s="132"/>
      <c r="W8" s="123"/>
      <c r="X8" s="123"/>
      <c r="Y8" s="123"/>
      <c r="Z8" s="123"/>
      <c r="AA8" s="123"/>
      <c r="AB8" s="123"/>
      <c r="AC8" s="143"/>
      <c r="AD8" s="143"/>
      <c r="AE8" s="133"/>
      <c r="AF8" s="134"/>
      <c r="AG8" s="135"/>
      <c r="AH8" s="136"/>
      <c r="AI8" s="137"/>
    </row>
    <row r="9" spans="1:36" ht="45.6" customHeight="1" x14ac:dyDescent="0.25">
      <c r="A9" s="631">
        <v>1</v>
      </c>
      <c r="B9" s="633" t="s">
        <v>32</v>
      </c>
      <c r="C9" s="459" t="s">
        <v>158</v>
      </c>
      <c r="D9" s="144" t="s">
        <v>160</v>
      </c>
      <c r="E9" s="145"/>
      <c r="F9" s="146"/>
      <c r="G9" s="147"/>
      <c r="H9" s="148"/>
      <c r="I9" s="149"/>
      <c r="J9" s="146"/>
      <c r="K9" s="150"/>
      <c r="L9" s="149"/>
      <c r="M9" s="146"/>
      <c r="N9" s="150"/>
      <c r="O9" s="151"/>
      <c r="P9" s="151"/>
      <c r="Q9" s="153"/>
      <c r="R9" s="338"/>
      <c r="S9" s="339"/>
      <c r="T9" s="152"/>
      <c r="U9" s="340"/>
      <c r="V9" s="146"/>
      <c r="W9" s="341"/>
      <c r="X9" s="342"/>
      <c r="Y9" s="342"/>
      <c r="Z9" s="154"/>
      <c r="AA9" s="155"/>
      <c r="AB9" s="156"/>
      <c r="AC9" s="157"/>
      <c r="AD9" s="157"/>
      <c r="AE9" s="158"/>
      <c r="AF9" s="159"/>
      <c r="AG9" s="148"/>
      <c r="AH9" s="160"/>
      <c r="AI9" s="161"/>
    </row>
    <row r="10" spans="1:36" ht="34.5" customHeight="1" thickBot="1" x14ac:dyDescent="0.3">
      <c r="A10" s="632"/>
      <c r="B10" s="634"/>
      <c r="C10" s="166"/>
      <c r="D10" s="281" t="s">
        <v>159</v>
      </c>
      <c r="E10" s="282"/>
      <c r="F10" s="283"/>
      <c r="G10" s="284"/>
      <c r="H10" s="286"/>
      <c r="I10" s="285"/>
      <c r="J10" s="285"/>
      <c r="K10" s="287"/>
      <c r="L10" s="285"/>
      <c r="M10" s="285"/>
      <c r="N10" s="287"/>
      <c r="O10" s="288"/>
      <c r="P10" s="288"/>
      <c r="Q10" s="289"/>
      <c r="R10" s="290"/>
      <c r="S10" s="291"/>
      <c r="T10" s="285"/>
      <c r="U10" s="292"/>
      <c r="V10" s="285"/>
      <c r="W10" s="293"/>
      <c r="X10" s="293"/>
      <c r="Y10" s="293"/>
      <c r="Z10" s="293"/>
      <c r="AA10" s="294"/>
      <c r="AB10" s="294"/>
      <c r="AC10" s="294"/>
      <c r="AD10" s="294"/>
      <c r="AE10" s="295"/>
      <c r="AF10" s="295"/>
      <c r="AG10" s="286"/>
      <c r="AH10" s="296"/>
      <c r="AI10" s="364"/>
      <c r="AJ10" s="167"/>
    </row>
    <row r="11" spans="1:36" ht="38.450000000000003" customHeight="1" thickTop="1" thickBot="1" x14ac:dyDescent="0.3">
      <c r="A11" s="635">
        <v>2</v>
      </c>
      <c r="B11" s="636" t="s">
        <v>73</v>
      </c>
      <c r="C11" s="466" t="s">
        <v>158</v>
      </c>
      <c r="D11" s="168" t="s">
        <v>160</v>
      </c>
      <c r="E11" s="313"/>
      <c r="F11" s="146"/>
      <c r="G11" s="163"/>
      <c r="H11" s="148"/>
      <c r="I11" s="149"/>
      <c r="J11" s="146"/>
      <c r="K11" s="150"/>
      <c r="L11" s="149"/>
      <c r="M11" s="146"/>
      <c r="N11" s="150"/>
      <c r="O11" s="151"/>
      <c r="P11" s="169"/>
      <c r="Q11" s="316"/>
      <c r="R11" s="338"/>
      <c r="S11" s="343"/>
      <c r="T11" s="344"/>
      <c r="U11" s="340"/>
      <c r="V11" s="146"/>
      <c r="W11" s="277"/>
      <c r="X11" s="345"/>
      <c r="Y11" s="345"/>
      <c r="Z11" s="277"/>
      <c r="AA11" s="157"/>
      <c r="AB11" s="278"/>
      <c r="AC11" s="278"/>
      <c r="AD11" s="157"/>
      <c r="AE11" s="158"/>
      <c r="AF11" s="279"/>
      <c r="AG11" s="148"/>
      <c r="AH11" s="214"/>
      <c r="AI11" s="170"/>
      <c r="AJ11" s="167"/>
    </row>
    <row r="12" spans="1:36" s="167" customFormat="1" ht="38.450000000000003" customHeight="1" thickTop="1" thickBot="1" x14ac:dyDescent="0.3">
      <c r="A12" s="632"/>
      <c r="B12" s="634"/>
      <c r="C12" s="276"/>
      <c r="D12" s="297" t="s">
        <v>178</v>
      </c>
      <c r="E12" s="298"/>
      <c r="F12" s="299"/>
      <c r="G12" s="300"/>
      <c r="H12" s="302"/>
      <c r="I12" s="301"/>
      <c r="J12" s="301"/>
      <c r="K12" s="303"/>
      <c r="L12" s="301"/>
      <c r="M12" s="301"/>
      <c r="N12" s="303"/>
      <c r="O12" s="303"/>
      <c r="P12" s="303"/>
      <c r="Q12" s="304"/>
      <c r="R12" s="305"/>
      <c r="S12" s="306"/>
      <c r="T12" s="301"/>
      <c r="U12" s="307"/>
      <c r="V12" s="301"/>
      <c r="W12" s="308"/>
      <c r="X12" s="309"/>
      <c r="Y12" s="309"/>
      <c r="Z12" s="308"/>
      <c r="AA12" s="310"/>
      <c r="AB12" s="310"/>
      <c r="AC12" s="310"/>
      <c r="AD12" s="310"/>
      <c r="AE12" s="311"/>
      <c r="AF12" s="311"/>
      <c r="AG12" s="302"/>
      <c r="AH12" s="312"/>
      <c r="AI12" s="365"/>
    </row>
    <row r="13" spans="1:36" ht="38.450000000000003" customHeight="1" thickTop="1" thickBot="1" x14ac:dyDescent="0.3">
      <c r="A13" s="635">
        <v>3</v>
      </c>
      <c r="B13" s="636" t="s">
        <v>74</v>
      </c>
      <c r="C13" s="466" t="s">
        <v>158</v>
      </c>
      <c r="D13" s="168" t="s">
        <v>160</v>
      </c>
      <c r="E13" s="313"/>
      <c r="F13" s="146"/>
      <c r="G13" s="163"/>
      <c r="H13" s="148"/>
      <c r="I13" s="149"/>
      <c r="J13" s="146"/>
      <c r="K13" s="150"/>
      <c r="L13" s="149"/>
      <c r="M13" s="146"/>
      <c r="N13" s="150"/>
      <c r="O13" s="151"/>
      <c r="P13" s="169"/>
      <c r="Q13" s="316"/>
      <c r="R13" s="338"/>
      <c r="S13" s="343"/>
      <c r="T13" s="344"/>
      <c r="U13" s="340"/>
      <c r="V13" s="146"/>
      <c r="W13" s="277"/>
      <c r="X13" s="345"/>
      <c r="Y13" s="345"/>
      <c r="Z13" s="277"/>
      <c r="AA13" s="157"/>
      <c r="AB13" s="278"/>
      <c r="AC13" s="278"/>
      <c r="AD13" s="157"/>
      <c r="AE13" s="158"/>
      <c r="AF13" s="279"/>
      <c r="AG13" s="148"/>
      <c r="AH13" s="214"/>
      <c r="AI13" s="170"/>
      <c r="AJ13" s="167"/>
    </row>
    <row r="14" spans="1:36" s="167" customFormat="1" ht="38.450000000000003" customHeight="1" thickTop="1" thickBot="1" x14ac:dyDescent="0.3">
      <c r="A14" s="632"/>
      <c r="B14" s="634"/>
      <c r="C14" s="276"/>
      <c r="D14" s="297" t="s">
        <v>178</v>
      </c>
      <c r="E14" s="298"/>
      <c r="F14" s="299"/>
      <c r="G14" s="300"/>
      <c r="H14" s="302"/>
      <c r="I14" s="301"/>
      <c r="J14" s="301"/>
      <c r="K14" s="303"/>
      <c r="L14" s="301"/>
      <c r="M14" s="301"/>
      <c r="N14" s="303"/>
      <c r="O14" s="303"/>
      <c r="P14" s="303"/>
      <c r="Q14" s="304"/>
      <c r="R14" s="305"/>
      <c r="S14" s="306"/>
      <c r="T14" s="301"/>
      <c r="U14" s="307"/>
      <c r="V14" s="301"/>
      <c r="W14" s="308"/>
      <c r="X14" s="309"/>
      <c r="Y14" s="309"/>
      <c r="Z14" s="308"/>
      <c r="AA14" s="310"/>
      <c r="AB14" s="310"/>
      <c r="AC14" s="310"/>
      <c r="AD14" s="310"/>
      <c r="AE14" s="311"/>
      <c r="AF14" s="311"/>
      <c r="AG14" s="302"/>
      <c r="AH14" s="312"/>
      <c r="AI14" s="365"/>
    </row>
    <row r="15" spans="1:36" ht="16.5" thickTop="1" thickBot="1" x14ac:dyDescent="0.3">
      <c r="A15" s="629" t="s">
        <v>5</v>
      </c>
      <c r="B15" s="630"/>
      <c r="C15" s="171"/>
      <c r="D15" s="171"/>
      <c r="E15" s="172"/>
      <c r="F15" s="173"/>
      <c r="G15" s="172"/>
      <c r="H15" s="172"/>
      <c r="I15" s="172"/>
      <c r="J15" s="174"/>
      <c r="K15" s="172"/>
      <c r="L15" s="172"/>
      <c r="M15" s="174"/>
      <c r="N15" s="172"/>
      <c r="O15" s="172"/>
      <c r="P15" s="172"/>
      <c r="Q15" s="176"/>
      <c r="R15" s="172"/>
      <c r="S15" s="177"/>
      <c r="T15" s="177"/>
      <c r="U15" s="177"/>
      <c r="V15" s="177"/>
      <c r="W15" s="178"/>
      <c r="X15" s="179"/>
      <c r="Y15" s="179"/>
      <c r="Z15" s="179"/>
      <c r="AA15" s="175"/>
      <c r="AB15" s="175"/>
      <c r="AC15" s="175"/>
      <c r="AD15" s="175"/>
      <c r="AE15" s="180"/>
      <c r="AF15" s="180"/>
      <c r="AG15" s="175"/>
      <c r="AH15" s="181"/>
      <c r="AI15" s="182"/>
    </row>
    <row r="16" spans="1:36" ht="15" customHeight="1" thickBot="1" x14ac:dyDescent="0.3"/>
    <row r="17" spans="1:37" ht="15.75" thickBot="1" x14ac:dyDescent="0.3">
      <c r="A17" s="184" t="s">
        <v>379</v>
      </c>
      <c r="H17" s="315">
        <v>2867</v>
      </c>
      <c r="S17" s="184"/>
      <c r="T17" s="185"/>
      <c r="AK17" s="186"/>
    </row>
    <row r="18" spans="1:37" x14ac:dyDescent="0.25">
      <c r="A18" s="184" t="s">
        <v>378</v>
      </c>
      <c r="B18" s="113"/>
      <c r="H18" s="434"/>
      <c r="S18" s="184"/>
      <c r="T18" s="185"/>
      <c r="AK18" s="186"/>
    </row>
    <row r="19" spans="1:37" x14ac:dyDescent="0.25">
      <c r="A19" s="184"/>
      <c r="H19" s="502"/>
      <c r="S19" s="184"/>
      <c r="T19" s="185"/>
      <c r="AK19" s="186"/>
    </row>
    <row r="20" spans="1:37" x14ac:dyDescent="0.25">
      <c r="A20" s="184"/>
      <c r="B20" s="113"/>
      <c r="H20" s="434"/>
      <c r="S20" s="184"/>
      <c r="T20" s="185"/>
      <c r="AK20" s="186"/>
    </row>
    <row r="22" spans="1:37" x14ac:dyDescent="0.25">
      <c r="A22" s="184"/>
    </row>
    <row r="23" spans="1:37" x14ac:dyDescent="0.25">
      <c r="A23" s="187"/>
      <c r="T23" s="188"/>
    </row>
    <row r="24" spans="1:37" x14ac:dyDescent="0.25">
      <c r="A24" s="187"/>
      <c r="G24" s="113"/>
      <c r="H24" s="467"/>
    </row>
    <row r="25" spans="1:37" x14ac:dyDescent="0.25">
      <c r="A25" s="187"/>
      <c r="G25" s="113"/>
      <c r="H25" s="467"/>
    </row>
    <row r="26" spans="1:37" x14ac:dyDescent="0.25">
      <c r="A26" s="184"/>
      <c r="H26" s="434"/>
      <c r="AF26" s="189">
        <f>AE9*1.22</f>
        <v>0</v>
      </c>
    </row>
    <row r="27" spans="1:37" x14ac:dyDescent="0.25">
      <c r="A27" s="184"/>
      <c r="B27" s="113"/>
      <c r="H27" s="434"/>
      <c r="S27" s="190"/>
    </row>
    <row r="28" spans="1:37" x14ac:dyDescent="0.25">
      <c r="A28" s="184"/>
      <c r="H28" s="434"/>
    </row>
  </sheetData>
  <mergeCells count="32">
    <mergeCell ref="A15:B15"/>
    <mergeCell ref="A9:A10"/>
    <mergeCell ref="B9:B10"/>
    <mergeCell ref="A11:A12"/>
    <mergeCell ref="B11:B12"/>
    <mergeCell ref="A13:A14"/>
    <mergeCell ref="B13:B14"/>
    <mergeCell ref="A4:A7"/>
    <mergeCell ref="B4:B7"/>
    <mergeCell ref="C4:C7"/>
    <mergeCell ref="D4:D7"/>
    <mergeCell ref="R4:AH4"/>
    <mergeCell ref="U6:V6"/>
    <mergeCell ref="AB5:AB6"/>
    <mergeCell ref="AC5:AD5"/>
    <mergeCell ref="AE5:AE6"/>
    <mergeCell ref="AF5:AF6"/>
    <mergeCell ref="L6:N6"/>
    <mergeCell ref="H5:Q5"/>
    <mergeCell ref="AI4:AI6"/>
    <mergeCell ref="E5:E6"/>
    <mergeCell ref="F5:F6"/>
    <mergeCell ref="G5:G6"/>
    <mergeCell ref="I6:K6"/>
    <mergeCell ref="O6:Q6"/>
    <mergeCell ref="S6:T6"/>
    <mergeCell ref="R5:R6"/>
    <mergeCell ref="S5:V5"/>
    <mergeCell ref="W5:Z5"/>
    <mergeCell ref="AG5:AH6"/>
    <mergeCell ref="AA5:AA6"/>
    <mergeCell ref="E4:Q4"/>
  </mergeCells>
  <conditionalFormatting sqref="AI9:AI12">
    <cfRule type="cellIs" dxfId="14" priority="5" operator="lessThan">
      <formula>0</formula>
    </cfRule>
  </conditionalFormatting>
  <conditionalFormatting sqref="AI13:AI14">
    <cfRule type="cellIs" dxfId="13" priority="3" operator="lessThan">
      <formula>0</formula>
    </cfRule>
  </conditionalFormatting>
  <pageMargins left="0.25" right="0.25" top="0.75" bottom="0.75" header="0.3" footer="0.3"/>
  <pageSetup paperSize="8" scale="3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S33"/>
  <sheetViews>
    <sheetView topLeftCell="D1" zoomScale="115" zoomScaleNormal="115" workbookViewId="0">
      <selection activeCell="O22" sqref="O22"/>
    </sheetView>
  </sheetViews>
  <sheetFormatPr defaultColWidth="8.85546875" defaultRowHeight="15" x14ac:dyDescent="0.25"/>
  <cols>
    <col min="1" max="1" width="3.28515625" style="183" customWidth="1"/>
    <col min="2" max="2" width="7.28515625" style="183" bestFit="1" customWidth="1"/>
    <col min="3" max="3" width="20.42578125" style="183" customWidth="1"/>
    <col min="4" max="4" width="12.7109375" style="183" customWidth="1"/>
    <col min="5" max="5" width="11.28515625" style="183" customWidth="1"/>
    <col min="6" max="6" width="11.7109375" style="183" customWidth="1"/>
    <col min="7" max="7" width="12.140625" style="183" bestFit="1" customWidth="1"/>
    <col min="8" max="8" width="12.140625" style="183" customWidth="1"/>
    <col min="9" max="9" width="14" style="183" customWidth="1"/>
    <col min="10" max="11" width="15.42578125" style="112" customWidth="1"/>
    <col min="12" max="12" width="13" style="112" customWidth="1"/>
    <col min="13" max="13" width="15.28515625" style="112" customWidth="1"/>
    <col min="14" max="14" width="11.28515625" style="112" customWidth="1"/>
    <col min="15" max="15" width="15.85546875" style="112" customWidth="1"/>
    <col min="16" max="16" width="11.7109375" style="112" customWidth="1"/>
    <col min="17" max="17" width="13.85546875" style="112" customWidth="1"/>
    <col min="18" max="18" width="14.140625" style="112" customWidth="1"/>
    <col min="19" max="19" width="17.7109375" style="112" customWidth="1"/>
    <col min="20" max="261" width="8.85546875" style="112"/>
    <col min="262" max="262" width="3.28515625" style="112" customWidth="1"/>
    <col min="263" max="263" width="7.28515625" style="112" bestFit="1" customWidth="1"/>
    <col min="264" max="264" width="11.28515625" style="112" customWidth="1"/>
    <col min="265" max="265" width="11.7109375" style="112" customWidth="1"/>
    <col min="266" max="266" width="10.28515625" style="112" customWidth="1"/>
    <col min="267" max="267" width="6.140625" style="112" customWidth="1"/>
    <col min="268" max="268" width="11.28515625" style="112" customWidth="1"/>
    <col min="269" max="269" width="12.7109375" style="112" customWidth="1"/>
    <col min="270" max="271" width="11.28515625" style="112" customWidth="1"/>
    <col min="272" max="272" width="11.7109375" style="112" customWidth="1"/>
    <col min="273" max="273" width="11" style="112" customWidth="1"/>
    <col min="274" max="274" width="11.28515625" style="112" customWidth="1"/>
    <col min="275" max="275" width="17.7109375" style="112" customWidth="1"/>
    <col min="276" max="517" width="8.85546875" style="112"/>
    <col min="518" max="518" width="3.28515625" style="112" customWidth="1"/>
    <col min="519" max="519" width="7.28515625" style="112" bestFit="1" customWidth="1"/>
    <col min="520" max="520" width="11.28515625" style="112" customWidth="1"/>
    <col min="521" max="521" width="11.7109375" style="112" customWidth="1"/>
    <col min="522" max="522" width="10.28515625" style="112" customWidth="1"/>
    <col min="523" max="523" width="6.140625" style="112" customWidth="1"/>
    <col min="524" max="524" width="11.28515625" style="112" customWidth="1"/>
    <col min="525" max="525" width="12.7109375" style="112" customWidth="1"/>
    <col min="526" max="527" width="11.28515625" style="112" customWidth="1"/>
    <col min="528" max="528" width="11.7109375" style="112" customWidth="1"/>
    <col min="529" max="529" width="11" style="112" customWidth="1"/>
    <col min="530" max="530" width="11.28515625" style="112" customWidth="1"/>
    <col min="531" max="531" width="17.7109375" style="112" customWidth="1"/>
    <col min="532" max="773" width="8.85546875" style="112"/>
    <col min="774" max="774" width="3.28515625" style="112" customWidth="1"/>
    <col min="775" max="775" width="7.28515625" style="112" bestFit="1" customWidth="1"/>
    <col min="776" max="776" width="11.28515625" style="112" customWidth="1"/>
    <col min="777" max="777" width="11.7109375" style="112" customWidth="1"/>
    <col min="778" max="778" width="10.28515625" style="112" customWidth="1"/>
    <col min="779" max="779" width="6.140625" style="112" customWidth="1"/>
    <col min="780" max="780" width="11.28515625" style="112" customWidth="1"/>
    <col min="781" max="781" width="12.7109375" style="112" customWidth="1"/>
    <col min="782" max="783" width="11.28515625" style="112" customWidth="1"/>
    <col min="784" max="784" width="11.7109375" style="112" customWidth="1"/>
    <col min="785" max="785" width="11" style="112" customWidth="1"/>
    <col min="786" max="786" width="11.28515625" style="112" customWidth="1"/>
    <col min="787" max="787" width="17.7109375" style="112" customWidth="1"/>
    <col min="788" max="1029" width="8.85546875" style="112"/>
    <col min="1030" max="1030" width="3.28515625" style="112" customWidth="1"/>
    <col min="1031" max="1031" width="7.28515625" style="112" bestFit="1" customWidth="1"/>
    <col min="1032" max="1032" width="11.28515625" style="112" customWidth="1"/>
    <col min="1033" max="1033" width="11.7109375" style="112" customWidth="1"/>
    <col min="1034" max="1034" width="10.28515625" style="112" customWidth="1"/>
    <col min="1035" max="1035" width="6.140625" style="112" customWidth="1"/>
    <col min="1036" max="1036" width="11.28515625" style="112" customWidth="1"/>
    <col min="1037" max="1037" width="12.7109375" style="112" customWidth="1"/>
    <col min="1038" max="1039" width="11.28515625" style="112" customWidth="1"/>
    <col min="1040" max="1040" width="11.7109375" style="112" customWidth="1"/>
    <col min="1041" max="1041" width="11" style="112" customWidth="1"/>
    <col min="1042" max="1042" width="11.28515625" style="112" customWidth="1"/>
    <col min="1043" max="1043" width="17.7109375" style="112" customWidth="1"/>
    <col min="1044" max="1285" width="8.85546875" style="112"/>
    <col min="1286" max="1286" width="3.28515625" style="112" customWidth="1"/>
    <col min="1287" max="1287" width="7.28515625" style="112" bestFit="1" customWidth="1"/>
    <col min="1288" max="1288" width="11.28515625" style="112" customWidth="1"/>
    <col min="1289" max="1289" width="11.7109375" style="112" customWidth="1"/>
    <col min="1290" max="1290" width="10.28515625" style="112" customWidth="1"/>
    <col min="1291" max="1291" width="6.140625" style="112" customWidth="1"/>
    <col min="1292" max="1292" width="11.28515625" style="112" customWidth="1"/>
    <col min="1293" max="1293" width="12.7109375" style="112" customWidth="1"/>
    <col min="1294" max="1295" width="11.28515625" style="112" customWidth="1"/>
    <col min="1296" max="1296" width="11.7109375" style="112" customWidth="1"/>
    <col min="1297" max="1297" width="11" style="112" customWidth="1"/>
    <col min="1298" max="1298" width="11.28515625" style="112" customWidth="1"/>
    <col min="1299" max="1299" width="17.7109375" style="112" customWidth="1"/>
    <col min="1300" max="1541" width="8.85546875" style="112"/>
    <col min="1542" max="1542" width="3.28515625" style="112" customWidth="1"/>
    <col min="1543" max="1543" width="7.28515625" style="112" bestFit="1" customWidth="1"/>
    <col min="1544" max="1544" width="11.28515625" style="112" customWidth="1"/>
    <col min="1545" max="1545" width="11.7109375" style="112" customWidth="1"/>
    <col min="1546" max="1546" width="10.28515625" style="112" customWidth="1"/>
    <col min="1547" max="1547" width="6.140625" style="112" customWidth="1"/>
    <col min="1548" max="1548" width="11.28515625" style="112" customWidth="1"/>
    <col min="1549" max="1549" width="12.7109375" style="112" customWidth="1"/>
    <col min="1550" max="1551" width="11.28515625" style="112" customWidth="1"/>
    <col min="1552" max="1552" width="11.7109375" style="112" customWidth="1"/>
    <col min="1553" max="1553" width="11" style="112" customWidth="1"/>
    <col min="1554" max="1554" width="11.28515625" style="112" customWidth="1"/>
    <col min="1555" max="1555" width="17.7109375" style="112" customWidth="1"/>
    <col min="1556" max="1797" width="8.85546875" style="112"/>
    <col min="1798" max="1798" width="3.28515625" style="112" customWidth="1"/>
    <col min="1799" max="1799" width="7.28515625" style="112" bestFit="1" customWidth="1"/>
    <col min="1800" max="1800" width="11.28515625" style="112" customWidth="1"/>
    <col min="1801" max="1801" width="11.7109375" style="112" customWidth="1"/>
    <col min="1802" max="1802" width="10.28515625" style="112" customWidth="1"/>
    <col min="1803" max="1803" width="6.140625" style="112" customWidth="1"/>
    <col min="1804" max="1804" width="11.28515625" style="112" customWidth="1"/>
    <col min="1805" max="1805" width="12.7109375" style="112" customWidth="1"/>
    <col min="1806" max="1807" width="11.28515625" style="112" customWidth="1"/>
    <col min="1808" max="1808" width="11.7109375" style="112" customWidth="1"/>
    <col min="1809" max="1809" width="11" style="112" customWidth="1"/>
    <col min="1810" max="1810" width="11.28515625" style="112" customWidth="1"/>
    <col min="1811" max="1811" width="17.7109375" style="112" customWidth="1"/>
    <col min="1812" max="2053" width="8.85546875" style="112"/>
    <col min="2054" max="2054" width="3.28515625" style="112" customWidth="1"/>
    <col min="2055" max="2055" width="7.28515625" style="112" bestFit="1" customWidth="1"/>
    <col min="2056" max="2056" width="11.28515625" style="112" customWidth="1"/>
    <col min="2057" max="2057" width="11.7109375" style="112" customWidth="1"/>
    <col min="2058" max="2058" width="10.28515625" style="112" customWidth="1"/>
    <col min="2059" max="2059" width="6.140625" style="112" customWidth="1"/>
    <col min="2060" max="2060" width="11.28515625" style="112" customWidth="1"/>
    <col min="2061" max="2061" width="12.7109375" style="112" customWidth="1"/>
    <col min="2062" max="2063" width="11.28515625" style="112" customWidth="1"/>
    <col min="2064" max="2064" width="11.7109375" style="112" customWidth="1"/>
    <col min="2065" max="2065" width="11" style="112" customWidth="1"/>
    <col min="2066" max="2066" width="11.28515625" style="112" customWidth="1"/>
    <col min="2067" max="2067" width="17.7109375" style="112" customWidth="1"/>
    <col min="2068" max="2309" width="8.85546875" style="112"/>
    <col min="2310" max="2310" width="3.28515625" style="112" customWidth="1"/>
    <col min="2311" max="2311" width="7.28515625" style="112" bestFit="1" customWidth="1"/>
    <col min="2312" max="2312" width="11.28515625" style="112" customWidth="1"/>
    <col min="2313" max="2313" width="11.7109375" style="112" customWidth="1"/>
    <col min="2314" max="2314" width="10.28515625" style="112" customWidth="1"/>
    <col min="2315" max="2315" width="6.140625" style="112" customWidth="1"/>
    <col min="2316" max="2316" width="11.28515625" style="112" customWidth="1"/>
    <col min="2317" max="2317" width="12.7109375" style="112" customWidth="1"/>
    <col min="2318" max="2319" width="11.28515625" style="112" customWidth="1"/>
    <col min="2320" max="2320" width="11.7109375" style="112" customWidth="1"/>
    <col min="2321" max="2321" width="11" style="112" customWidth="1"/>
    <col min="2322" max="2322" width="11.28515625" style="112" customWidth="1"/>
    <col min="2323" max="2323" width="17.7109375" style="112" customWidth="1"/>
    <col min="2324" max="2565" width="8.85546875" style="112"/>
    <col min="2566" max="2566" width="3.28515625" style="112" customWidth="1"/>
    <col min="2567" max="2567" width="7.28515625" style="112" bestFit="1" customWidth="1"/>
    <col min="2568" max="2568" width="11.28515625" style="112" customWidth="1"/>
    <col min="2569" max="2569" width="11.7109375" style="112" customWidth="1"/>
    <col min="2570" max="2570" width="10.28515625" style="112" customWidth="1"/>
    <col min="2571" max="2571" width="6.140625" style="112" customWidth="1"/>
    <col min="2572" max="2572" width="11.28515625" style="112" customWidth="1"/>
    <col min="2573" max="2573" width="12.7109375" style="112" customWidth="1"/>
    <col min="2574" max="2575" width="11.28515625" style="112" customWidth="1"/>
    <col min="2576" max="2576" width="11.7109375" style="112" customWidth="1"/>
    <col min="2577" max="2577" width="11" style="112" customWidth="1"/>
    <col min="2578" max="2578" width="11.28515625" style="112" customWidth="1"/>
    <col min="2579" max="2579" width="17.7109375" style="112" customWidth="1"/>
    <col min="2580" max="2821" width="8.85546875" style="112"/>
    <col min="2822" max="2822" width="3.28515625" style="112" customWidth="1"/>
    <col min="2823" max="2823" width="7.28515625" style="112" bestFit="1" customWidth="1"/>
    <col min="2824" max="2824" width="11.28515625" style="112" customWidth="1"/>
    <col min="2825" max="2825" width="11.7109375" style="112" customWidth="1"/>
    <col min="2826" max="2826" width="10.28515625" style="112" customWidth="1"/>
    <col min="2827" max="2827" width="6.140625" style="112" customWidth="1"/>
    <col min="2828" max="2828" width="11.28515625" style="112" customWidth="1"/>
    <col min="2829" max="2829" width="12.7109375" style="112" customWidth="1"/>
    <col min="2830" max="2831" width="11.28515625" style="112" customWidth="1"/>
    <col min="2832" max="2832" width="11.7109375" style="112" customWidth="1"/>
    <col min="2833" max="2833" width="11" style="112" customWidth="1"/>
    <col min="2834" max="2834" width="11.28515625" style="112" customWidth="1"/>
    <col min="2835" max="2835" width="17.7109375" style="112" customWidth="1"/>
    <col min="2836" max="3077" width="8.85546875" style="112"/>
    <col min="3078" max="3078" width="3.28515625" style="112" customWidth="1"/>
    <col min="3079" max="3079" width="7.28515625" style="112" bestFit="1" customWidth="1"/>
    <col min="3080" max="3080" width="11.28515625" style="112" customWidth="1"/>
    <col min="3081" max="3081" width="11.7109375" style="112" customWidth="1"/>
    <col min="3082" max="3082" width="10.28515625" style="112" customWidth="1"/>
    <col min="3083" max="3083" width="6.140625" style="112" customWidth="1"/>
    <col min="3084" max="3084" width="11.28515625" style="112" customWidth="1"/>
    <col min="3085" max="3085" width="12.7109375" style="112" customWidth="1"/>
    <col min="3086" max="3087" width="11.28515625" style="112" customWidth="1"/>
    <col min="3088" max="3088" width="11.7109375" style="112" customWidth="1"/>
    <col min="3089" max="3089" width="11" style="112" customWidth="1"/>
    <col min="3090" max="3090" width="11.28515625" style="112" customWidth="1"/>
    <col min="3091" max="3091" width="17.7109375" style="112" customWidth="1"/>
    <col min="3092" max="3333" width="8.85546875" style="112"/>
    <col min="3334" max="3334" width="3.28515625" style="112" customWidth="1"/>
    <col min="3335" max="3335" width="7.28515625" style="112" bestFit="1" customWidth="1"/>
    <col min="3336" max="3336" width="11.28515625" style="112" customWidth="1"/>
    <col min="3337" max="3337" width="11.7109375" style="112" customWidth="1"/>
    <col min="3338" max="3338" width="10.28515625" style="112" customWidth="1"/>
    <col min="3339" max="3339" width="6.140625" style="112" customWidth="1"/>
    <col min="3340" max="3340" width="11.28515625" style="112" customWidth="1"/>
    <col min="3341" max="3341" width="12.7109375" style="112" customWidth="1"/>
    <col min="3342" max="3343" width="11.28515625" style="112" customWidth="1"/>
    <col min="3344" max="3344" width="11.7109375" style="112" customWidth="1"/>
    <col min="3345" max="3345" width="11" style="112" customWidth="1"/>
    <col min="3346" max="3346" width="11.28515625" style="112" customWidth="1"/>
    <col min="3347" max="3347" width="17.7109375" style="112" customWidth="1"/>
    <col min="3348" max="3589" width="8.85546875" style="112"/>
    <col min="3590" max="3590" width="3.28515625" style="112" customWidth="1"/>
    <col min="3591" max="3591" width="7.28515625" style="112" bestFit="1" customWidth="1"/>
    <col min="3592" max="3592" width="11.28515625" style="112" customWidth="1"/>
    <col min="3593" max="3593" width="11.7109375" style="112" customWidth="1"/>
    <col min="3594" max="3594" width="10.28515625" style="112" customWidth="1"/>
    <col min="3595" max="3595" width="6.140625" style="112" customWidth="1"/>
    <col min="3596" max="3596" width="11.28515625" style="112" customWidth="1"/>
    <col min="3597" max="3597" width="12.7109375" style="112" customWidth="1"/>
    <col min="3598" max="3599" width="11.28515625" style="112" customWidth="1"/>
    <col min="3600" max="3600" width="11.7109375" style="112" customWidth="1"/>
    <col min="3601" max="3601" width="11" style="112" customWidth="1"/>
    <col min="3602" max="3602" width="11.28515625" style="112" customWidth="1"/>
    <col min="3603" max="3603" width="17.7109375" style="112" customWidth="1"/>
    <col min="3604" max="3845" width="8.85546875" style="112"/>
    <col min="3846" max="3846" width="3.28515625" style="112" customWidth="1"/>
    <col min="3847" max="3847" width="7.28515625" style="112" bestFit="1" customWidth="1"/>
    <col min="3848" max="3848" width="11.28515625" style="112" customWidth="1"/>
    <col min="3849" max="3849" width="11.7109375" style="112" customWidth="1"/>
    <col min="3850" max="3850" width="10.28515625" style="112" customWidth="1"/>
    <col min="3851" max="3851" width="6.140625" style="112" customWidth="1"/>
    <col min="3852" max="3852" width="11.28515625" style="112" customWidth="1"/>
    <col min="3853" max="3853" width="12.7109375" style="112" customWidth="1"/>
    <col min="3854" max="3855" width="11.28515625" style="112" customWidth="1"/>
    <col min="3856" max="3856" width="11.7109375" style="112" customWidth="1"/>
    <col min="3857" max="3857" width="11" style="112" customWidth="1"/>
    <col min="3858" max="3858" width="11.28515625" style="112" customWidth="1"/>
    <col min="3859" max="3859" width="17.7109375" style="112" customWidth="1"/>
    <col min="3860" max="4101" width="8.85546875" style="112"/>
    <col min="4102" max="4102" width="3.28515625" style="112" customWidth="1"/>
    <col min="4103" max="4103" width="7.28515625" style="112" bestFit="1" customWidth="1"/>
    <col min="4104" max="4104" width="11.28515625" style="112" customWidth="1"/>
    <col min="4105" max="4105" width="11.7109375" style="112" customWidth="1"/>
    <col min="4106" max="4106" width="10.28515625" style="112" customWidth="1"/>
    <col min="4107" max="4107" width="6.140625" style="112" customWidth="1"/>
    <col min="4108" max="4108" width="11.28515625" style="112" customWidth="1"/>
    <col min="4109" max="4109" width="12.7109375" style="112" customWidth="1"/>
    <col min="4110" max="4111" width="11.28515625" style="112" customWidth="1"/>
    <col min="4112" max="4112" width="11.7109375" style="112" customWidth="1"/>
    <col min="4113" max="4113" width="11" style="112" customWidth="1"/>
    <col min="4114" max="4114" width="11.28515625" style="112" customWidth="1"/>
    <col min="4115" max="4115" width="17.7109375" style="112" customWidth="1"/>
    <col min="4116" max="4357" width="8.85546875" style="112"/>
    <col min="4358" max="4358" width="3.28515625" style="112" customWidth="1"/>
    <col min="4359" max="4359" width="7.28515625" style="112" bestFit="1" customWidth="1"/>
    <col min="4360" max="4360" width="11.28515625" style="112" customWidth="1"/>
    <col min="4361" max="4361" width="11.7109375" style="112" customWidth="1"/>
    <col min="4362" max="4362" width="10.28515625" style="112" customWidth="1"/>
    <col min="4363" max="4363" width="6.140625" style="112" customWidth="1"/>
    <col min="4364" max="4364" width="11.28515625" style="112" customWidth="1"/>
    <col min="4365" max="4365" width="12.7109375" style="112" customWidth="1"/>
    <col min="4366" max="4367" width="11.28515625" style="112" customWidth="1"/>
    <col min="4368" max="4368" width="11.7109375" style="112" customWidth="1"/>
    <col min="4369" max="4369" width="11" style="112" customWidth="1"/>
    <col min="4370" max="4370" width="11.28515625" style="112" customWidth="1"/>
    <col min="4371" max="4371" width="17.7109375" style="112" customWidth="1"/>
    <col min="4372" max="4613" width="8.85546875" style="112"/>
    <col min="4614" max="4614" width="3.28515625" style="112" customWidth="1"/>
    <col min="4615" max="4615" width="7.28515625" style="112" bestFit="1" customWidth="1"/>
    <col min="4616" max="4616" width="11.28515625" style="112" customWidth="1"/>
    <col min="4617" max="4617" width="11.7109375" style="112" customWidth="1"/>
    <col min="4618" max="4618" width="10.28515625" style="112" customWidth="1"/>
    <col min="4619" max="4619" width="6.140625" style="112" customWidth="1"/>
    <col min="4620" max="4620" width="11.28515625" style="112" customWidth="1"/>
    <col min="4621" max="4621" width="12.7109375" style="112" customWidth="1"/>
    <col min="4622" max="4623" width="11.28515625" style="112" customWidth="1"/>
    <col min="4624" max="4624" width="11.7109375" style="112" customWidth="1"/>
    <col min="4625" max="4625" width="11" style="112" customWidth="1"/>
    <col min="4626" max="4626" width="11.28515625" style="112" customWidth="1"/>
    <col min="4627" max="4627" width="17.7109375" style="112" customWidth="1"/>
    <col min="4628" max="4869" width="8.85546875" style="112"/>
    <col min="4870" max="4870" width="3.28515625" style="112" customWidth="1"/>
    <col min="4871" max="4871" width="7.28515625" style="112" bestFit="1" customWidth="1"/>
    <col min="4872" max="4872" width="11.28515625" style="112" customWidth="1"/>
    <col min="4873" max="4873" width="11.7109375" style="112" customWidth="1"/>
    <col min="4874" max="4874" width="10.28515625" style="112" customWidth="1"/>
    <col min="4875" max="4875" width="6.140625" style="112" customWidth="1"/>
    <col min="4876" max="4876" width="11.28515625" style="112" customWidth="1"/>
    <col min="4877" max="4877" width="12.7109375" style="112" customWidth="1"/>
    <col min="4878" max="4879" width="11.28515625" style="112" customWidth="1"/>
    <col min="4880" max="4880" width="11.7109375" style="112" customWidth="1"/>
    <col min="4881" max="4881" width="11" style="112" customWidth="1"/>
    <col min="4882" max="4882" width="11.28515625" style="112" customWidth="1"/>
    <col min="4883" max="4883" width="17.7109375" style="112" customWidth="1"/>
    <col min="4884" max="5125" width="8.85546875" style="112"/>
    <col min="5126" max="5126" width="3.28515625" style="112" customWidth="1"/>
    <col min="5127" max="5127" width="7.28515625" style="112" bestFit="1" customWidth="1"/>
    <col min="5128" max="5128" width="11.28515625" style="112" customWidth="1"/>
    <col min="5129" max="5129" width="11.7109375" style="112" customWidth="1"/>
    <col min="5130" max="5130" width="10.28515625" style="112" customWidth="1"/>
    <col min="5131" max="5131" width="6.140625" style="112" customWidth="1"/>
    <col min="5132" max="5132" width="11.28515625" style="112" customWidth="1"/>
    <col min="5133" max="5133" width="12.7109375" style="112" customWidth="1"/>
    <col min="5134" max="5135" width="11.28515625" style="112" customWidth="1"/>
    <col min="5136" max="5136" width="11.7109375" style="112" customWidth="1"/>
    <col min="5137" max="5137" width="11" style="112" customWidth="1"/>
    <col min="5138" max="5138" width="11.28515625" style="112" customWidth="1"/>
    <col min="5139" max="5139" width="17.7109375" style="112" customWidth="1"/>
    <col min="5140" max="5381" width="8.85546875" style="112"/>
    <col min="5382" max="5382" width="3.28515625" style="112" customWidth="1"/>
    <col min="5383" max="5383" width="7.28515625" style="112" bestFit="1" customWidth="1"/>
    <col min="5384" max="5384" width="11.28515625" style="112" customWidth="1"/>
    <col min="5385" max="5385" width="11.7109375" style="112" customWidth="1"/>
    <col min="5386" max="5386" width="10.28515625" style="112" customWidth="1"/>
    <col min="5387" max="5387" width="6.140625" style="112" customWidth="1"/>
    <col min="5388" max="5388" width="11.28515625" style="112" customWidth="1"/>
    <col min="5389" max="5389" width="12.7109375" style="112" customWidth="1"/>
    <col min="5390" max="5391" width="11.28515625" style="112" customWidth="1"/>
    <col min="5392" max="5392" width="11.7109375" style="112" customWidth="1"/>
    <col min="5393" max="5393" width="11" style="112" customWidth="1"/>
    <col min="5394" max="5394" width="11.28515625" style="112" customWidth="1"/>
    <col min="5395" max="5395" width="17.7109375" style="112" customWidth="1"/>
    <col min="5396" max="5637" width="8.85546875" style="112"/>
    <col min="5638" max="5638" width="3.28515625" style="112" customWidth="1"/>
    <col min="5639" max="5639" width="7.28515625" style="112" bestFit="1" customWidth="1"/>
    <col min="5640" max="5640" width="11.28515625" style="112" customWidth="1"/>
    <col min="5641" max="5641" width="11.7109375" style="112" customWidth="1"/>
    <col min="5642" max="5642" width="10.28515625" style="112" customWidth="1"/>
    <col min="5643" max="5643" width="6.140625" style="112" customWidth="1"/>
    <col min="5644" max="5644" width="11.28515625" style="112" customWidth="1"/>
    <col min="5645" max="5645" width="12.7109375" style="112" customWidth="1"/>
    <col min="5646" max="5647" width="11.28515625" style="112" customWidth="1"/>
    <col min="5648" max="5648" width="11.7109375" style="112" customWidth="1"/>
    <col min="5649" max="5649" width="11" style="112" customWidth="1"/>
    <col min="5650" max="5650" width="11.28515625" style="112" customWidth="1"/>
    <col min="5651" max="5651" width="17.7109375" style="112" customWidth="1"/>
    <col min="5652" max="5893" width="8.85546875" style="112"/>
    <col min="5894" max="5894" width="3.28515625" style="112" customWidth="1"/>
    <col min="5895" max="5895" width="7.28515625" style="112" bestFit="1" customWidth="1"/>
    <col min="5896" max="5896" width="11.28515625" style="112" customWidth="1"/>
    <col min="5897" max="5897" width="11.7109375" style="112" customWidth="1"/>
    <col min="5898" max="5898" width="10.28515625" style="112" customWidth="1"/>
    <col min="5899" max="5899" width="6.140625" style="112" customWidth="1"/>
    <col min="5900" max="5900" width="11.28515625" style="112" customWidth="1"/>
    <col min="5901" max="5901" width="12.7109375" style="112" customWidth="1"/>
    <col min="5902" max="5903" width="11.28515625" style="112" customWidth="1"/>
    <col min="5904" max="5904" width="11.7109375" style="112" customWidth="1"/>
    <col min="5905" max="5905" width="11" style="112" customWidth="1"/>
    <col min="5906" max="5906" width="11.28515625" style="112" customWidth="1"/>
    <col min="5907" max="5907" width="17.7109375" style="112" customWidth="1"/>
    <col min="5908" max="6149" width="8.85546875" style="112"/>
    <col min="6150" max="6150" width="3.28515625" style="112" customWidth="1"/>
    <col min="6151" max="6151" width="7.28515625" style="112" bestFit="1" customWidth="1"/>
    <col min="6152" max="6152" width="11.28515625" style="112" customWidth="1"/>
    <col min="6153" max="6153" width="11.7109375" style="112" customWidth="1"/>
    <col min="6154" max="6154" width="10.28515625" style="112" customWidth="1"/>
    <col min="6155" max="6155" width="6.140625" style="112" customWidth="1"/>
    <col min="6156" max="6156" width="11.28515625" style="112" customWidth="1"/>
    <col min="6157" max="6157" width="12.7109375" style="112" customWidth="1"/>
    <col min="6158" max="6159" width="11.28515625" style="112" customWidth="1"/>
    <col min="6160" max="6160" width="11.7109375" style="112" customWidth="1"/>
    <col min="6161" max="6161" width="11" style="112" customWidth="1"/>
    <col min="6162" max="6162" width="11.28515625" style="112" customWidth="1"/>
    <col min="6163" max="6163" width="17.7109375" style="112" customWidth="1"/>
    <col min="6164" max="6405" width="8.85546875" style="112"/>
    <col min="6406" max="6406" width="3.28515625" style="112" customWidth="1"/>
    <col min="6407" max="6407" width="7.28515625" style="112" bestFit="1" customWidth="1"/>
    <col min="6408" max="6408" width="11.28515625" style="112" customWidth="1"/>
    <col min="6409" max="6409" width="11.7109375" style="112" customWidth="1"/>
    <col min="6410" max="6410" width="10.28515625" style="112" customWidth="1"/>
    <col min="6411" max="6411" width="6.140625" style="112" customWidth="1"/>
    <col min="6412" max="6412" width="11.28515625" style="112" customWidth="1"/>
    <col min="6413" max="6413" width="12.7109375" style="112" customWidth="1"/>
    <col min="6414" max="6415" width="11.28515625" style="112" customWidth="1"/>
    <col min="6416" max="6416" width="11.7109375" style="112" customWidth="1"/>
    <col min="6417" max="6417" width="11" style="112" customWidth="1"/>
    <col min="6418" max="6418" width="11.28515625" style="112" customWidth="1"/>
    <col min="6419" max="6419" width="17.7109375" style="112" customWidth="1"/>
    <col min="6420" max="6661" width="8.85546875" style="112"/>
    <col min="6662" max="6662" width="3.28515625" style="112" customWidth="1"/>
    <col min="6663" max="6663" width="7.28515625" style="112" bestFit="1" customWidth="1"/>
    <col min="6664" max="6664" width="11.28515625" style="112" customWidth="1"/>
    <col min="6665" max="6665" width="11.7109375" style="112" customWidth="1"/>
    <col min="6666" max="6666" width="10.28515625" style="112" customWidth="1"/>
    <col min="6667" max="6667" width="6.140625" style="112" customWidth="1"/>
    <col min="6668" max="6668" width="11.28515625" style="112" customWidth="1"/>
    <col min="6669" max="6669" width="12.7109375" style="112" customWidth="1"/>
    <col min="6670" max="6671" width="11.28515625" style="112" customWidth="1"/>
    <col min="6672" max="6672" width="11.7109375" style="112" customWidth="1"/>
    <col min="6673" max="6673" width="11" style="112" customWidth="1"/>
    <col min="6674" max="6674" width="11.28515625" style="112" customWidth="1"/>
    <col min="6675" max="6675" width="17.7109375" style="112" customWidth="1"/>
    <col min="6676" max="6917" width="8.85546875" style="112"/>
    <col min="6918" max="6918" width="3.28515625" style="112" customWidth="1"/>
    <col min="6919" max="6919" width="7.28515625" style="112" bestFit="1" customWidth="1"/>
    <col min="6920" max="6920" width="11.28515625" style="112" customWidth="1"/>
    <col min="6921" max="6921" width="11.7109375" style="112" customWidth="1"/>
    <col min="6922" max="6922" width="10.28515625" style="112" customWidth="1"/>
    <col min="6923" max="6923" width="6.140625" style="112" customWidth="1"/>
    <col min="6924" max="6924" width="11.28515625" style="112" customWidth="1"/>
    <col min="6925" max="6925" width="12.7109375" style="112" customWidth="1"/>
    <col min="6926" max="6927" width="11.28515625" style="112" customWidth="1"/>
    <col min="6928" max="6928" width="11.7109375" style="112" customWidth="1"/>
    <col min="6929" max="6929" width="11" style="112" customWidth="1"/>
    <col min="6930" max="6930" width="11.28515625" style="112" customWidth="1"/>
    <col min="6931" max="6931" width="17.7109375" style="112" customWidth="1"/>
    <col min="6932" max="7173" width="8.85546875" style="112"/>
    <col min="7174" max="7174" width="3.28515625" style="112" customWidth="1"/>
    <col min="7175" max="7175" width="7.28515625" style="112" bestFit="1" customWidth="1"/>
    <col min="7176" max="7176" width="11.28515625" style="112" customWidth="1"/>
    <col min="7177" max="7177" width="11.7109375" style="112" customWidth="1"/>
    <col min="7178" max="7178" width="10.28515625" style="112" customWidth="1"/>
    <col min="7179" max="7179" width="6.140625" style="112" customWidth="1"/>
    <col min="7180" max="7180" width="11.28515625" style="112" customWidth="1"/>
    <col min="7181" max="7181" width="12.7109375" style="112" customWidth="1"/>
    <col min="7182" max="7183" width="11.28515625" style="112" customWidth="1"/>
    <col min="7184" max="7184" width="11.7109375" style="112" customWidth="1"/>
    <col min="7185" max="7185" width="11" style="112" customWidth="1"/>
    <col min="7186" max="7186" width="11.28515625" style="112" customWidth="1"/>
    <col min="7187" max="7187" width="17.7109375" style="112" customWidth="1"/>
    <col min="7188" max="7429" width="8.85546875" style="112"/>
    <col min="7430" max="7430" width="3.28515625" style="112" customWidth="1"/>
    <col min="7431" max="7431" width="7.28515625" style="112" bestFit="1" customWidth="1"/>
    <col min="7432" max="7432" width="11.28515625" style="112" customWidth="1"/>
    <col min="7433" max="7433" width="11.7109375" style="112" customWidth="1"/>
    <col min="7434" max="7434" width="10.28515625" style="112" customWidth="1"/>
    <col min="7435" max="7435" width="6.140625" style="112" customWidth="1"/>
    <col min="7436" max="7436" width="11.28515625" style="112" customWidth="1"/>
    <col min="7437" max="7437" width="12.7109375" style="112" customWidth="1"/>
    <col min="7438" max="7439" width="11.28515625" style="112" customWidth="1"/>
    <col min="7440" max="7440" width="11.7109375" style="112" customWidth="1"/>
    <col min="7441" max="7441" width="11" style="112" customWidth="1"/>
    <col min="7442" max="7442" width="11.28515625" style="112" customWidth="1"/>
    <col min="7443" max="7443" width="17.7109375" style="112" customWidth="1"/>
    <col min="7444" max="7685" width="8.85546875" style="112"/>
    <col min="7686" max="7686" width="3.28515625" style="112" customWidth="1"/>
    <col min="7687" max="7687" width="7.28515625" style="112" bestFit="1" customWidth="1"/>
    <col min="7688" max="7688" width="11.28515625" style="112" customWidth="1"/>
    <col min="7689" max="7689" width="11.7109375" style="112" customWidth="1"/>
    <col min="7690" max="7690" width="10.28515625" style="112" customWidth="1"/>
    <col min="7691" max="7691" width="6.140625" style="112" customWidth="1"/>
    <col min="7692" max="7692" width="11.28515625" style="112" customWidth="1"/>
    <col min="7693" max="7693" width="12.7109375" style="112" customWidth="1"/>
    <col min="7694" max="7695" width="11.28515625" style="112" customWidth="1"/>
    <col min="7696" max="7696" width="11.7109375" style="112" customWidth="1"/>
    <col min="7697" max="7697" width="11" style="112" customWidth="1"/>
    <col min="7698" max="7698" width="11.28515625" style="112" customWidth="1"/>
    <col min="7699" max="7699" width="17.7109375" style="112" customWidth="1"/>
    <col min="7700" max="7941" width="8.85546875" style="112"/>
    <col min="7942" max="7942" width="3.28515625" style="112" customWidth="1"/>
    <col min="7943" max="7943" width="7.28515625" style="112" bestFit="1" customWidth="1"/>
    <col min="7944" max="7944" width="11.28515625" style="112" customWidth="1"/>
    <col min="7945" max="7945" width="11.7109375" style="112" customWidth="1"/>
    <col min="7946" max="7946" width="10.28515625" style="112" customWidth="1"/>
    <col min="7947" max="7947" width="6.140625" style="112" customWidth="1"/>
    <col min="7948" max="7948" width="11.28515625" style="112" customWidth="1"/>
    <col min="7949" max="7949" width="12.7109375" style="112" customWidth="1"/>
    <col min="7950" max="7951" width="11.28515625" style="112" customWidth="1"/>
    <col min="7952" max="7952" width="11.7109375" style="112" customWidth="1"/>
    <col min="7953" max="7953" width="11" style="112" customWidth="1"/>
    <col min="7954" max="7954" width="11.28515625" style="112" customWidth="1"/>
    <col min="7955" max="7955" width="17.7109375" style="112" customWidth="1"/>
    <col min="7956" max="8197" width="8.85546875" style="112"/>
    <col min="8198" max="8198" width="3.28515625" style="112" customWidth="1"/>
    <col min="8199" max="8199" width="7.28515625" style="112" bestFit="1" customWidth="1"/>
    <col min="8200" max="8200" width="11.28515625" style="112" customWidth="1"/>
    <col min="8201" max="8201" width="11.7109375" style="112" customWidth="1"/>
    <col min="8202" max="8202" width="10.28515625" style="112" customWidth="1"/>
    <col min="8203" max="8203" width="6.140625" style="112" customWidth="1"/>
    <col min="8204" max="8204" width="11.28515625" style="112" customWidth="1"/>
    <col min="8205" max="8205" width="12.7109375" style="112" customWidth="1"/>
    <col min="8206" max="8207" width="11.28515625" style="112" customWidth="1"/>
    <col min="8208" max="8208" width="11.7109375" style="112" customWidth="1"/>
    <col min="8209" max="8209" width="11" style="112" customWidth="1"/>
    <col min="8210" max="8210" width="11.28515625" style="112" customWidth="1"/>
    <col min="8211" max="8211" width="17.7109375" style="112" customWidth="1"/>
    <col min="8212" max="8453" width="8.85546875" style="112"/>
    <col min="8454" max="8454" width="3.28515625" style="112" customWidth="1"/>
    <col min="8455" max="8455" width="7.28515625" style="112" bestFit="1" customWidth="1"/>
    <col min="8456" max="8456" width="11.28515625" style="112" customWidth="1"/>
    <col min="8457" max="8457" width="11.7109375" style="112" customWidth="1"/>
    <col min="8458" max="8458" width="10.28515625" style="112" customWidth="1"/>
    <col min="8459" max="8459" width="6.140625" style="112" customWidth="1"/>
    <col min="8460" max="8460" width="11.28515625" style="112" customWidth="1"/>
    <col min="8461" max="8461" width="12.7109375" style="112" customWidth="1"/>
    <col min="8462" max="8463" width="11.28515625" style="112" customWidth="1"/>
    <col min="8464" max="8464" width="11.7109375" style="112" customWidth="1"/>
    <col min="8465" max="8465" width="11" style="112" customWidth="1"/>
    <col min="8466" max="8466" width="11.28515625" style="112" customWidth="1"/>
    <col min="8467" max="8467" width="17.7109375" style="112" customWidth="1"/>
    <col min="8468" max="8709" width="8.85546875" style="112"/>
    <col min="8710" max="8710" width="3.28515625" style="112" customWidth="1"/>
    <col min="8711" max="8711" width="7.28515625" style="112" bestFit="1" customWidth="1"/>
    <col min="8712" max="8712" width="11.28515625" style="112" customWidth="1"/>
    <col min="8713" max="8713" width="11.7109375" style="112" customWidth="1"/>
    <col min="8714" max="8714" width="10.28515625" style="112" customWidth="1"/>
    <col min="8715" max="8715" width="6.140625" style="112" customWidth="1"/>
    <col min="8716" max="8716" width="11.28515625" style="112" customWidth="1"/>
    <col min="8717" max="8717" width="12.7109375" style="112" customWidth="1"/>
    <col min="8718" max="8719" width="11.28515625" style="112" customWidth="1"/>
    <col min="8720" max="8720" width="11.7109375" style="112" customWidth="1"/>
    <col min="8721" max="8721" width="11" style="112" customWidth="1"/>
    <col min="8722" max="8722" width="11.28515625" style="112" customWidth="1"/>
    <col min="8723" max="8723" width="17.7109375" style="112" customWidth="1"/>
    <col min="8724" max="8965" width="8.85546875" style="112"/>
    <col min="8966" max="8966" width="3.28515625" style="112" customWidth="1"/>
    <col min="8967" max="8967" width="7.28515625" style="112" bestFit="1" customWidth="1"/>
    <col min="8968" max="8968" width="11.28515625" style="112" customWidth="1"/>
    <col min="8969" max="8969" width="11.7109375" style="112" customWidth="1"/>
    <col min="8970" max="8970" width="10.28515625" style="112" customWidth="1"/>
    <col min="8971" max="8971" width="6.140625" style="112" customWidth="1"/>
    <col min="8972" max="8972" width="11.28515625" style="112" customWidth="1"/>
    <col min="8973" max="8973" width="12.7109375" style="112" customWidth="1"/>
    <col min="8974" max="8975" width="11.28515625" style="112" customWidth="1"/>
    <col min="8976" max="8976" width="11.7109375" style="112" customWidth="1"/>
    <col min="8977" max="8977" width="11" style="112" customWidth="1"/>
    <col min="8978" max="8978" width="11.28515625" style="112" customWidth="1"/>
    <col min="8979" max="8979" width="17.7109375" style="112" customWidth="1"/>
    <col min="8980" max="9221" width="8.85546875" style="112"/>
    <col min="9222" max="9222" width="3.28515625" style="112" customWidth="1"/>
    <col min="9223" max="9223" width="7.28515625" style="112" bestFit="1" customWidth="1"/>
    <col min="9224" max="9224" width="11.28515625" style="112" customWidth="1"/>
    <col min="9225" max="9225" width="11.7109375" style="112" customWidth="1"/>
    <col min="9226" max="9226" width="10.28515625" style="112" customWidth="1"/>
    <col min="9227" max="9227" width="6.140625" style="112" customWidth="1"/>
    <col min="9228" max="9228" width="11.28515625" style="112" customWidth="1"/>
    <col min="9229" max="9229" width="12.7109375" style="112" customWidth="1"/>
    <col min="9230" max="9231" width="11.28515625" style="112" customWidth="1"/>
    <col min="9232" max="9232" width="11.7109375" style="112" customWidth="1"/>
    <col min="9233" max="9233" width="11" style="112" customWidth="1"/>
    <col min="9234" max="9234" width="11.28515625" style="112" customWidth="1"/>
    <col min="9235" max="9235" width="17.7109375" style="112" customWidth="1"/>
    <col min="9236" max="9477" width="8.85546875" style="112"/>
    <col min="9478" max="9478" width="3.28515625" style="112" customWidth="1"/>
    <col min="9479" max="9479" width="7.28515625" style="112" bestFit="1" customWidth="1"/>
    <col min="9480" max="9480" width="11.28515625" style="112" customWidth="1"/>
    <col min="9481" max="9481" width="11.7109375" style="112" customWidth="1"/>
    <col min="9482" max="9482" width="10.28515625" style="112" customWidth="1"/>
    <col min="9483" max="9483" width="6.140625" style="112" customWidth="1"/>
    <col min="9484" max="9484" width="11.28515625" style="112" customWidth="1"/>
    <col min="9485" max="9485" width="12.7109375" style="112" customWidth="1"/>
    <col min="9486" max="9487" width="11.28515625" style="112" customWidth="1"/>
    <col min="9488" max="9488" width="11.7109375" style="112" customWidth="1"/>
    <col min="9489" max="9489" width="11" style="112" customWidth="1"/>
    <col min="9490" max="9490" width="11.28515625" style="112" customWidth="1"/>
    <col min="9491" max="9491" width="17.7109375" style="112" customWidth="1"/>
    <col min="9492" max="9733" width="8.85546875" style="112"/>
    <col min="9734" max="9734" width="3.28515625" style="112" customWidth="1"/>
    <col min="9735" max="9735" width="7.28515625" style="112" bestFit="1" customWidth="1"/>
    <col min="9736" max="9736" width="11.28515625" style="112" customWidth="1"/>
    <col min="9737" max="9737" width="11.7109375" style="112" customWidth="1"/>
    <col min="9738" max="9738" width="10.28515625" style="112" customWidth="1"/>
    <col min="9739" max="9739" width="6.140625" style="112" customWidth="1"/>
    <col min="9740" max="9740" width="11.28515625" style="112" customWidth="1"/>
    <col min="9741" max="9741" width="12.7109375" style="112" customWidth="1"/>
    <col min="9742" max="9743" width="11.28515625" style="112" customWidth="1"/>
    <col min="9744" max="9744" width="11.7109375" style="112" customWidth="1"/>
    <col min="9745" max="9745" width="11" style="112" customWidth="1"/>
    <col min="9746" max="9746" width="11.28515625" style="112" customWidth="1"/>
    <col min="9747" max="9747" width="17.7109375" style="112" customWidth="1"/>
    <col min="9748" max="9989" width="8.85546875" style="112"/>
    <col min="9990" max="9990" width="3.28515625" style="112" customWidth="1"/>
    <col min="9991" max="9991" width="7.28515625" style="112" bestFit="1" customWidth="1"/>
    <col min="9992" max="9992" width="11.28515625" style="112" customWidth="1"/>
    <col min="9993" max="9993" width="11.7109375" style="112" customWidth="1"/>
    <col min="9994" max="9994" width="10.28515625" style="112" customWidth="1"/>
    <col min="9995" max="9995" width="6.140625" style="112" customWidth="1"/>
    <col min="9996" max="9996" width="11.28515625" style="112" customWidth="1"/>
    <col min="9997" max="9997" width="12.7109375" style="112" customWidth="1"/>
    <col min="9998" max="9999" width="11.28515625" style="112" customWidth="1"/>
    <col min="10000" max="10000" width="11.7109375" style="112" customWidth="1"/>
    <col min="10001" max="10001" width="11" style="112" customWidth="1"/>
    <col min="10002" max="10002" width="11.28515625" style="112" customWidth="1"/>
    <col min="10003" max="10003" width="17.7109375" style="112" customWidth="1"/>
    <col min="10004" max="10245" width="8.85546875" style="112"/>
    <col min="10246" max="10246" width="3.28515625" style="112" customWidth="1"/>
    <col min="10247" max="10247" width="7.28515625" style="112" bestFit="1" customWidth="1"/>
    <col min="10248" max="10248" width="11.28515625" style="112" customWidth="1"/>
    <col min="10249" max="10249" width="11.7109375" style="112" customWidth="1"/>
    <col min="10250" max="10250" width="10.28515625" style="112" customWidth="1"/>
    <col min="10251" max="10251" width="6.140625" style="112" customWidth="1"/>
    <col min="10252" max="10252" width="11.28515625" style="112" customWidth="1"/>
    <col min="10253" max="10253" width="12.7109375" style="112" customWidth="1"/>
    <col min="10254" max="10255" width="11.28515625" style="112" customWidth="1"/>
    <col min="10256" max="10256" width="11.7109375" style="112" customWidth="1"/>
    <col min="10257" max="10257" width="11" style="112" customWidth="1"/>
    <col min="10258" max="10258" width="11.28515625" style="112" customWidth="1"/>
    <col min="10259" max="10259" width="17.7109375" style="112" customWidth="1"/>
    <col min="10260" max="10501" width="8.85546875" style="112"/>
    <col min="10502" max="10502" width="3.28515625" style="112" customWidth="1"/>
    <col min="10503" max="10503" width="7.28515625" style="112" bestFit="1" customWidth="1"/>
    <col min="10504" max="10504" width="11.28515625" style="112" customWidth="1"/>
    <col min="10505" max="10505" width="11.7109375" style="112" customWidth="1"/>
    <col min="10506" max="10506" width="10.28515625" style="112" customWidth="1"/>
    <col min="10507" max="10507" width="6.140625" style="112" customWidth="1"/>
    <col min="10508" max="10508" width="11.28515625" style="112" customWidth="1"/>
    <col min="10509" max="10509" width="12.7109375" style="112" customWidth="1"/>
    <col min="10510" max="10511" width="11.28515625" style="112" customWidth="1"/>
    <col min="10512" max="10512" width="11.7109375" style="112" customWidth="1"/>
    <col min="10513" max="10513" width="11" style="112" customWidth="1"/>
    <col min="10514" max="10514" width="11.28515625" style="112" customWidth="1"/>
    <col min="10515" max="10515" width="17.7109375" style="112" customWidth="1"/>
    <col min="10516" max="10757" width="8.85546875" style="112"/>
    <col min="10758" max="10758" width="3.28515625" style="112" customWidth="1"/>
    <col min="10759" max="10759" width="7.28515625" style="112" bestFit="1" customWidth="1"/>
    <col min="10760" max="10760" width="11.28515625" style="112" customWidth="1"/>
    <col min="10761" max="10761" width="11.7109375" style="112" customWidth="1"/>
    <col min="10762" max="10762" width="10.28515625" style="112" customWidth="1"/>
    <col min="10763" max="10763" width="6.140625" style="112" customWidth="1"/>
    <col min="10764" max="10764" width="11.28515625" style="112" customWidth="1"/>
    <col min="10765" max="10765" width="12.7109375" style="112" customWidth="1"/>
    <col min="10766" max="10767" width="11.28515625" style="112" customWidth="1"/>
    <col min="10768" max="10768" width="11.7109375" style="112" customWidth="1"/>
    <col min="10769" max="10769" width="11" style="112" customWidth="1"/>
    <col min="10770" max="10770" width="11.28515625" style="112" customWidth="1"/>
    <col min="10771" max="10771" width="17.7109375" style="112" customWidth="1"/>
    <col min="10772" max="11013" width="8.85546875" style="112"/>
    <col min="11014" max="11014" width="3.28515625" style="112" customWidth="1"/>
    <col min="11015" max="11015" width="7.28515625" style="112" bestFit="1" customWidth="1"/>
    <col min="11016" max="11016" width="11.28515625" style="112" customWidth="1"/>
    <col min="11017" max="11017" width="11.7109375" style="112" customWidth="1"/>
    <col min="11018" max="11018" width="10.28515625" style="112" customWidth="1"/>
    <col min="11019" max="11019" width="6.140625" style="112" customWidth="1"/>
    <col min="11020" max="11020" width="11.28515625" style="112" customWidth="1"/>
    <col min="11021" max="11021" width="12.7109375" style="112" customWidth="1"/>
    <col min="11022" max="11023" width="11.28515625" style="112" customWidth="1"/>
    <col min="11024" max="11024" width="11.7109375" style="112" customWidth="1"/>
    <col min="11025" max="11025" width="11" style="112" customWidth="1"/>
    <col min="11026" max="11026" width="11.28515625" style="112" customWidth="1"/>
    <col min="11027" max="11027" width="17.7109375" style="112" customWidth="1"/>
    <col min="11028" max="11269" width="8.85546875" style="112"/>
    <col min="11270" max="11270" width="3.28515625" style="112" customWidth="1"/>
    <col min="11271" max="11271" width="7.28515625" style="112" bestFit="1" customWidth="1"/>
    <col min="11272" max="11272" width="11.28515625" style="112" customWidth="1"/>
    <col min="11273" max="11273" width="11.7109375" style="112" customWidth="1"/>
    <col min="11274" max="11274" width="10.28515625" style="112" customWidth="1"/>
    <col min="11275" max="11275" width="6.140625" style="112" customWidth="1"/>
    <col min="11276" max="11276" width="11.28515625" style="112" customWidth="1"/>
    <col min="11277" max="11277" width="12.7109375" style="112" customWidth="1"/>
    <col min="11278" max="11279" width="11.28515625" style="112" customWidth="1"/>
    <col min="11280" max="11280" width="11.7109375" style="112" customWidth="1"/>
    <col min="11281" max="11281" width="11" style="112" customWidth="1"/>
    <col min="11282" max="11282" width="11.28515625" style="112" customWidth="1"/>
    <col min="11283" max="11283" width="17.7109375" style="112" customWidth="1"/>
    <col min="11284" max="11525" width="8.85546875" style="112"/>
    <col min="11526" max="11526" width="3.28515625" style="112" customWidth="1"/>
    <col min="11527" max="11527" width="7.28515625" style="112" bestFit="1" customWidth="1"/>
    <col min="11528" max="11528" width="11.28515625" style="112" customWidth="1"/>
    <col min="11529" max="11529" width="11.7109375" style="112" customWidth="1"/>
    <col min="11530" max="11530" width="10.28515625" style="112" customWidth="1"/>
    <col min="11531" max="11531" width="6.140625" style="112" customWidth="1"/>
    <col min="11532" max="11532" width="11.28515625" style="112" customWidth="1"/>
    <col min="11533" max="11533" width="12.7109375" style="112" customWidth="1"/>
    <col min="11534" max="11535" width="11.28515625" style="112" customWidth="1"/>
    <col min="11536" max="11536" width="11.7109375" style="112" customWidth="1"/>
    <col min="11537" max="11537" width="11" style="112" customWidth="1"/>
    <col min="11538" max="11538" width="11.28515625" style="112" customWidth="1"/>
    <col min="11539" max="11539" width="17.7109375" style="112" customWidth="1"/>
    <col min="11540" max="11781" width="8.85546875" style="112"/>
    <col min="11782" max="11782" width="3.28515625" style="112" customWidth="1"/>
    <col min="11783" max="11783" width="7.28515625" style="112" bestFit="1" customWidth="1"/>
    <col min="11784" max="11784" width="11.28515625" style="112" customWidth="1"/>
    <col min="11785" max="11785" width="11.7109375" style="112" customWidth="1"/>
    <col min="11786" max="11786" width="10.28515625" style="112" customWidth="1"/>
    <col min="11787" max="11787" width="6.140625" style="112" customWidth="1"/>
    <col min="11788" max="11788" width="11.28515625" style="112" customWidth="1"/>
    <col min="11789" max="11789" width="12.7109375" style="112" customWidth="1"/>
    <col min="11790" max="11791" width="11.28515625" style="112" customWidth="1"/>
    <col min="11792" max="11792" width="11.7109375" style="112" customWidth="1"/>
    <col min="11793" max="11793" width="11" style="112" customWidth="1"/>
    <col min="11794" max="11794" width="11.28515625" style="112" customWidth="1"/>
    <col min="11795" max="11795" width="17.7109375" style="112" customWidth="1"/>
    <col min="11796" max="12037" width="8.85546875" style="112"/>
    <col min="12038" max="12038" width="3.28515625" style="112" customWidth="1"/>
    <col min="12039" max="12039" width="7.28515625" style="112" bestFit="1" customWidth="1"/>
    <col min="12040" max="12040" width="11.28515625" style="112" customWidth="1"/>
    <col min="12041" max="12041" width="11.7109375" style="112" customWidth="1"/>
    <col min="12042" max="12042" width="10.28515625" style="112" customWidth="1"/>
    <col min="12043" max="12043" width="6.140625" style="112" customWidth="1"/>
    <col min="12044" max="12044" width="11.28515625" style="112" customWidth="1"/>
    <col min="12045" max="12045" width="12.7109375" style="112" customWidth="1"/>
    <col min="12046" max="12047" width="11.28515625" style="112" customWidth="1"/>
    <col min="12048" max="12048" width="11.7109375" style="112" customWidth="1"/>
    <col min="12049" max="12049" width="11" style="112" customWidth="1"/>
    <col min="12050" max="12050" width="11.28515625" style="112" customWidth="1"/>
    <col min="12051" max="12051" width="17.7109375" style="112" customWidth="1"/>
    <col min="12052" max="12293" width="8.85546875" style="112"/>
    <col min="12294" max="12294" width="3.28515625" style="112" customWidth="1"/>
    <col min="12295" max="12295" width="7.28515625" style="112" bestFit="1" customWidth="1"/>
    <col min="12296" max="12296" width="11.28515625" style="112" customWidth="1"/>
    <col min="12297" max="12297" width="11.7109375" style="112" customWidth="1"/>
    <col min="12298" max="12298" width="10.28515625" style="112" customWidth="1"/>
    <col min="12299" max="12299" width="6.140625" style="112" customWidth="1"/>
    <col min="12300" max="12300" width="11.28515625" style="112" customWidth="1"/>
    <col min="12301" max="12301" width="12.7109375" style="112" customWidth="1"/>
    <col min="12302" max="12303" width="11.28515625" style="112" customWidth="1"/>
    <col min="12304" max="12304" width="11.7109375" style="112" customWidth="1"/>
    <col min="12305" max="12305" width="11" style="112" customWidth="1"/>
    <col min="12306" max="12306" width="11.28515625" style="112" customWidth="1"/>
    <col min="12307" max="12307" width="17.7109375" style="112" customWidth="1"/>
    <col min="12308" max="12549" width="8.85546875" style="112"/>
    <col min="12550" max="12550" width="3.28515625" style="112" customWidth="1"/>
    <col min="12551" max="12551" width="7.28515625" style="112" bestFit="1" customWidth="1"/>
    <col min="12552" max="12552" width="11.28515625" style="112" customWidth="1"/>
    <col min="12553" max="12553" width="11.7109375" style="112" customWidth="1"/>
    <col min="12554" max="12554" width="10.28515625" style="112" customWidth="1"/>
    <col min="12555" max="12555" width="6.140625" style="112" customWidth="1"/>
    <col min="12556" max="12556" width="11.28515625" style="112" customWidth="1"/>
    <col min="12557" max="12557" width="12.7109375" style="112" customWidth="1"/>
    <col min="12558" max="12559" width="11.28515625" style="112" customWidth="1"/>
    <col min="12560" max="12560" width="11.7109375" style="112" customWidth="1"/>
    <col min="12561" max="12561" width="11" style="112" customWidth="1"/>
    <col min="12562" max="12562" width="11.28515625" style="112" customWidth="1"/>
    <col min="12563" max="12563" width="17.7109375" style="112" customWidth="1"/>
    <col min="12564" max="12805" width="8.85546875" style="112"/>
    <col min="12806" max="12806" width="3.28515625" style="112" customWidth="1"/>
    <col min="12807" max="12807" width="7.28515625" style="112" bestFit="1" customWidth="1"/>
    <col min="12808" max="12808" width="11.28515625" style="112" customWidth="1"/>
    <col min="12809" max="12809" width="11.7109375" style="112" customWidth="1"/>
    <col min="12810" max="12810" width="10.28515625" style="112" customWidth="1"/>
    <col min="12811" max="12811" width="6.140625" style="112" customWidth="1"/>
    <col min="12812" max="12812" width="11.28515625" style="112" customWidth="1"/>
    <col min="12813" max="12813" width="12.7109375" style="112" customWidth="1"/>
    <col min="12814" max="12815" width="11.28515625" style="112" customWidth="1"/>
    <col min="12816" max="12816" width="11.7109375" style="112" customWidth="1"/>
    <col min="12817" max="12817" width="11" style="112" customWidth="1"/>
    <col min="12818" max="12818" width="11.28515625" style="112" customWidth="1"/>
    <col min="12819" max="12819" width="17.7109375" style="112" customWidth="1"/>
    <col min="12820" max="13061" width="8.85546875" style="112"/>
    <col min="13062" max="13062" width="3.28515625" style="112" customWidth="1"/>
    <col min="13063" max="13063" width="7.28515625" style="112" bestFit="1" customWidth="1"/>
    <col min="13064" max="13064" width="11.28515625" style="112" customWidth="1"/>
    <col min="13065" max="13065" width="11.7109375" style="112" customWidth="1"/>
    <col min="13066" max="13066" width="10.28515625" style="112" customWidth="1"/>
    <col min="13067" max="13067" width="6.140625" style="112" customWidth="1"/>
    <col min="13068" max="13068" width="11.28515625" style="112" customWidth="1"/>
    <col min="13069" max="13069" width="12.7109375" style="112" customWidth="1"/>
    <col min="13070" max="13071" width="11.28515625" style="112" customWidth="1"/>
    <col min="13072" max="13072" width="11.7109375" style="112" customWidth="1"/>
    <col min="13073" max="13073" width="11" style="112" customWidth="1"/>
    <col min="13074" max="13074" width="11.28515625" style="112" customWidth="1"/>
    <col min="13075" max="13075" width="17.7109375" style="112" customWidth="1"/>
    <col min="13076" max="13317" width="8.85546875" style="112"/>
    <col min="13318" max="13318" width="3.28515625" style="112" customWidth="1"/>
    <col min="13319" max="13319" width="7.28515625" style="112" bestFit="1" customWidth="1"/>
    <col min="13320" max="13320" width="11.28515625" style="112" customWidth="1"/>
    <col min="13321" max="13321" width="11.7109375" style="112" customWidth="1"/>
    <col min="13322" max="13322" width="10.28515625" style="112" customWidth="1"/>
    <col min="13323" max="13323" width="6.140625" style="112" customWidth="1"/>
    <col min="13324" max="13324" width="11.28515625" style="112" customWidth="1"/>
    <col min="13325" max="13325" width="12.7109375" style="112" customWidth="1"/>
    <col min="13326" max="13327" width="11.28515625" style="112" customWidth="1"/>
    <col min="13328" max="13328" width="11.7109375" style="112" customWidth="1"/>
    <col min="13329" max="13329" width="11" style="112" customWidth="1"/>
    <col min="13330" max="13330" width="11.28515625" style="112" customWidth="1"/>
    <col min="13331" max="13331" width="17.7109375" style="112" customWidth="1"/>
    <col min="13332" max="13573" width="8.85546875" style="112"/>
    <col min="13574" max="13574" width="3.28515625" style="112" customWidth="1"/>
    <col min="13575" max="13575" width="7.28515625" style="112" bestFit="1" customWidth="1"/>
    <col min="13576" max="13576" width="11.28515625" style="112" customWidth="1"/>
    <col min="13577" max="13577" width="11.7109375" style="112" customWidth="1"/>
    <col min="13578" max="13578" width="10.28515625" style="112" customWidth="1"/>
    <col min="13579" max="13579" width="6.140625" style="112" customWidth="1"/>
    <col min="13580" max="13580" width="11.28515625" style="112" customWidth="1"/>
    <col min="13581" max="13581" width="12.7109375" style="112" customWidth="1"/>
    <col min="13582" max="13583" width="11.28515625" style="112" customWidth="1"/>
    <col min="13584" max="13584" width="11.7109375" style="112" customWidth="1"/>
    <col min="13585" max="13585" width="11" style="112" customWidth="1"/>
    <col min="13586" max="13586" width="11.28515625" style="112" customWidth="1"/>
    <col min="13587" max="13587" width="17.7109375" style="112" customWidth="1"/>
    <col min="13588" max="13829" width="8.85546875" style="112"/>
    <col min="13830" max="13830" width="3.28515625" style="112" customWidth="1"/>
    <col min="13831" max="13831" width="7.28515625" style="112" bestFit="1" customWidth="1"/>
    <col min="13832" max="13832" width="11.28515625" style="112" customWidth="1"/>
    <col min="13833" max="13833" width="11.7109375" style="112" customWidth="1"/>
    <col min="13834" max="13834" width="10.28515625" style="112" customWidth="1"/>
    <col min="13835" max="13835" width="6.140625" style="112" customWidth="1"/>
    <col min="13836" max="13836" width="11.28515625" style="112" customWidth="1"/>
    <col min="13837" max="13837" width="12.7109375" style="112" customWidth="1"/>
    <col min="13838" max="13839" width="11.28515625" style="112" customWidth="1"/>
    <col min="13840" max="13840" width="11.7109375" style="112" customWidth="1"/>
    <col min="13841" max="13841" width="11" style="112" customWidth="1"/>
    <col min="13842" max="13842" width="11.28515625" style="112" customWidth="1"/>
    <col min="13843" max="13843" width="17.7109375" style="112" customWidth="1"/>
    <col min="13844" max="14085" width="8.85546875" style="112"/>
    <col min="14086" max="14086" width="3.28515625" style="112" customWidth="1"/>
    <col min="14087" max="14087" width="7.28515625" style="112" bestFit="1" customWidth="1"/>
    <col min="14088" max="14088" width="11.28515625" style="112" customWidth="1"/>
    <col min="14089" max="14089" width="11.7109375" style="112" customWidth="1"/>
    <col min="14090" max="14090" width="10.28515625" style="112" customWidth="1"/>
    <col min="14091" max="14091" width="6.140625" style="112" customWidth="1"/>
    <col min="14092" max="14092" width="11.28515625" style="112" customWidth="1"/>
    <col min="14093" max="14093" width="12.7109375" style="112" customWidth="1"/>
    <col min="14094" max="14095" width="11.28515625" style="112" customWidth="1"/>
    <col min="14096" max="14096" width="11.7109375" style="112" customWidth="1"/>
    <col min="14097" max="14097" width="11" style="112" customWidth="1"/>
    <col min="14098" max="14098" width="11.28515625" style="112" customWidth="1"/>
    <col min="14099" max="14099" width="17.7109375" style="112" customWidth="1"/>
    <col min="14100" max="14341" width="8.85546875" style="112"/>
    <col min="14342" max="14342" width="3.28515625" style="112" customWidth="1"/>
    <col min="14343" max="14343" width="7.28515625" style="112" bestFit="1" customWidth="1"/>
    <col min="14344" max="14344" width="11.28515625" style="112" customWidth="1"/>
    <col min="14345" max="14345" width="11.7109375" style="112" customWidth="1"/>
    <col min="14346" max="14346" width="10.28515625" style="112" customWidth="1"/>
    <col min="14347" max="14347" width="6.140625" style="112" customWidth="1"/>
    <col min="14348" max="14348" width="11.28515625" style="112" customWidth="1"/>
    <col min="14349" max="14349" width="12.7109375" style="112" customWidth="1"/>
    <col min="14350" max="14351" width="11.28515625" style="112" customWidth="1"/>
    <col min="14352" max="14352" width="11.7109375" style="112" customWidth="1"/>
    <col min="14353" max="14353" width="11" style="112" customWidth="1"/>
    <col min="14354" max="14354" width="11.28515625" style="112" customWidth="1"/>
    <col min="14355" max="14355" width="17.7109375" style="112" customWidth="1"/>
    <col min="14356" max="14597" width="8.85546875" style="112"/>
    <col min="14598" max="14598" width="3.28515625" style="112" customWidth="1"/>
    <col min="14599" max="14599" width="7.28515625" style="112" bestFit="1" customWidth="1"/>
    <col min="14600" max="14600" width="11.28515625" style="112" customWidth="1"/>
    <col min="14601" max="14601" width="11.7109375" style="112" customWidth="1"/>
    <col min="14602" max="14602" width="10.28515625" style="112" customWidth="1"/>
    <col min="14603" max="14603" width="6.140625" style="112" customWidth="1"/>
    <col min="14604" max="14604" width="11.28515625" style="112" customWidth="1"/>
    <col min="14605" max="14605" width="12.7109375" style="112" customWidth="1"/>
    <col min="14606" max="14607" width="11.28515625" style="112" customWidth="1"/>
    <col min="14608" max="14608" width="11.7109375" style="112" customWidth="1"/>
    <col min="14609" max="14609" width="11" style="112" customWidth="1"/>
    <col min="14610" max="14610" width="11.28515625" style="112" customWidth="1"/>
    <col min="14611" max="14611" width="17.7109375" style="112" customWidth="1"/>
    <col min="14612" max="14853" width="8.85546875" style="112"/>
    <col min="14854" max="14854" width="3.28515625" style="112" customWidth="1"/>
    <col min="14855" max="14855" width="7.28515625" style="112" bestFit="1" customWidth="1"/>
    <col min="14856" max="14856" width="11.28515625" style="112" customWidth="1"/>
    <col min="14857" max="14857" width="11.7109375" style="112" customWidth="1"/>
    <col min="14858" max="14858" width="10.28515625" style="112" customWidth="1"/>
    <col min="14859" max="14859" width="6.140625" style="112" customWidth="1"/>
    <col min="14860" max="14860" width="11.28515625" style="112" customWidth="1"/>
    <col min="14861" max="14861" width="12.7109375" style="112" customWidth="1"/>
    <col min="14862" max="14863" width="11.28515625" style="112" customWidth="1"/>
    <col min="14864" max="14864" width="11.7109375" style="112" customWidth="1"/>
    <col min="14865" max="14865" width="11" style="112" customWidth="1"/>
    <col min="14866" max="14866" width="11.28515625" style="112" customWidth="1"/>
    <col min="14867" max="14867" width="17.7109375" style="112" customWidth="1"/>
    <col min="14868" max="15109" width="8.85546875" style="112"/>
    <col min="15110" max="15110" width="3.28515625" style="112" customWidth="1"/>
    <col min="15111" max="15111" width="7.28515625" style="112" bestFit="1" customWidth="1"/>
    <col min="15112" max="15112" width="11.28515625" style="112" customWidth="1"/>
    <col min="15113" max="15113" width="11.7109375" style="112" customWidth="1"/>
    <col min="15114" max="15114" width="10.28515625" style="112" customWidth="1"/>
    <col min="15115" max="15115" width="6.140625" style="112" customWidth="1"/>
    <col min="15116" max="15116" width="11.28515625" style="112" customWidth="1"/>
    <col min="15117" max="15117" width="12.7109375" style="112" customWidth="1"/>
    <col min="15118" max="15119" width="11.28515625" style="112" customWidth="1"/>
    <col min="15120" max="15120" width="11.7109375" style="112" customWidth="1"/>
    <col min="15121" max="15121" width="11" style="112" customWidth="1"/>
    <col min="15122" max="15122" width="11.28515625" style="112" customWidth="1"/>
    <col min="15123" max="15123" width="17.7109375" style="112" customWidth="1"/>
    <col min="15124" max="15365" width="8.85546875" style="112"/>
    <col min="15366" max="15366" width="3.28515625" style="112" customWidth="1"/>
    <col min="15367" max="15367" width="7.28515625" style="112" bestFit="1" customWidth="1"/>
    <col min="15368" max="15368" width="11.28515625" style="112" customWidth="1"/>
    <col min="15369" max="15369" width="11.7109375" style="112" customWidth="1"/>
    <col min="15370" max="15370" width="10.28515625" style="112" customWidth="1"/>
    <col min="15371" max="15371" width="6.140625" style="112" customWidth="1"/>
    <col min="15372" max="15372" width="11.28515625" style="112" customWidth="1"/>
    <col min="15373" max="15373" width="12.7109375" style="112" customWidth="1"/>
    <col min="15374" max="15375" width="11.28515625" style="112" customWidth="1"/>
    <col min="15376" max="15376" width="11.7109375" style="112" customWidth="1"/>
    <col min="15377" max="15377" width="11" style="112" customWidth="1"/>
    <col min="15378" max="15378" width="11.28515625" style="112" customWidth="1"/>
    <col min="15379" max="15379" width="17.7109375" style="112" customWidth="1"/>
    <col min="15380" max="15621" width="8.85546875" style="112"/>
    <col min="15622" max="15622" width="3.28515625" style="112" customWidth="1"/>
    <col min="15623" max="15623" width="7.28515625" style="112" bestFit="1" customWidth="1"/>
    <col min="15624" max="15624" width="11.28515625" style="112" customWidth="1"/>
    <col min="15625" max="15625" width="11.7109375" style="112" customWidth="1"/>
    <col min="15626" max="15626" width="10.28515625" style="112" customWidth="1"/>
    <col min="15627" max="15627" width="6.140625" style="112" customWidth="1"/>
    <col min="15628" max="15628" width="11.28515625" style="112" customWidth="1"/>
    <col min="15629" max="15629" width="12.7109375" style="112" customWidth="1"/>
    <col min="15630" max="15631" width="11.28515625" style="112" customWidth="1"/>
    <col min="15632" max="15632" width="11.7109375" style="112" customWidth="1"/>
    <col min="15633" max="15633" width="11" style="112" customWidth="1"/>
    <col min="15634" max="15634" width="11.28515625" style="112" customWidth="1"/>
    <col min="15635" max="15635" width="17.7109375" style="112" customWidth="1"/>
    <col min="15636" max="15877" width="8.85546875" style="112"/>
    <col min="15878" max="15878" width="3.28515625" style="112" customWidth="1"/>
    <col min="15879" max="15879" width="7.28515625" style="112" bestFit="1" customWidth="1"/>
    <col min="15880" max="15880" width="11.28515625" style="112" customWidth="1"/>
    <col min="15881" max="15881" width="11.7109375" style="112" customWidth="1"/>
    <col min="15882" max="15882" width="10.28515625" style="112" customWidth="1"/>
    <col min="15883" max="15883" width="6.140625" style="112" customWidth="1"/>
    <col min="15884" max="15884" width="11.28515625" style="112" customWidth="1"/>
    <col min="15885" max="15885" width="12.7109375" style="112" customWidth="1"/>
    <col min="15886" max="15887" width="11.28515625" style="112" customWidth="1"/>
    <col min="15888" max="15888" width="11.7109375" style="112" customWidth="1"/>
    <col min="15889" max="15889" width="11" style="112" customWidth="1"/>
    <col min="15890" max="15890" width="11.28515625" style="112" customWidth="1"/>
    <col min="15891" max="15891" width="17.7109375" style="112" customWidth="1"/>
    <col min="15892" max="16133" width="8.85546875" style="112"/>
    <col min="16134" max="16134" width="3.28515625" style="112" customWidth="1"/>
    <col min="16135" max="16135" width="7.28515625" style="112" bestFit="1" customWidth="1"/>
    <col min="16136" max="16136" width="11.28515625" style="112" customWidth="1"/>
    <col min="16137" max="16137" width="11.7109375" style="112" customWidth="1"/>
    <col min="16138" max="16138" width="10.28515625" style="112" customWidth="1"/>
    <col min="16139" max="16139" width="6.140625" style="112" customWidth="1"/>
    <col min="16140" max="16140" width="11.28515625" style="112" customWidth="1"/>
    <col min="16141" max="16141" width="12.7109375" style="112" customWidth="1"/>
    <col min="16142" max="16143" width="11.28515625" style="112" customWidth="1"/>
    <col min="16144" max="16144" width="11.7109375" style="112" customWidth="1"/>
    <col min="16145" max="16145" width="11" style="112" customWidth="1"/>
    <col min="16146" max="16146" width="11.28515625" style="112" customWidth="1"/>
    <col min="16147" max="16147" width="17.7109375" style="112" customWidth="1"/>
    <col min="16148" max="16380" width="8.85546875" style="112"/>
    <col min="16381" max="16384" width="9.140625" style="112" customWidth="1"/>
  </cols>
  <sheetData>
    <row r="1" spans="1:19" ht="18" x14ac:dyDescent="0.25">
      <c r="A1" s="111" t="s">
        <v>56</v>
      </c>
      <c r="B1" s="111"/>
      <c r="C1" s="111"/>
      <c r="D1" s="111"/>
      <c r="E1" s="111"/>
      <c r="F1" s="111"/>
      <c r="G1" s="111"/>
      <c r="H1" s="111"/>
      <c r="I1" s="111"/>
      <c r="J1" s="111"/>
      <c r="K1" s="111"/>
      <c r="L1" s="111"/>
      <c r="M1" s="111"/>
      <c r="N1" s="111"/>
      <c r="O1" s="111"/>
      <c r="P1" s="111"/>
      <c r="Q1" s="111"/>
      <c r="R1" s="111"/>
      <c r="S1" s="111"/>
    </row>
    <row r="2" spans="1:19" ht="18.75" thickBot="1" x14ac:dyDescent="0.3">
      <c r="A2" s="191"/>
      <c r="B2" s="191"/>
      <c r="C2" s="191"/>
      <c r="D2" s="191"/>
      <c r="E2" s="191"/>
      <c r="F2" s="191"/>
      <c r="G2" s="191"/>
      <c r="H2" s="191"/>
      <c r="I2" s="191"/>
      <c r="J2" s="191"/>
      <c r="K2" s="191"/>
      <c r="L2" s="191"/>
      <c r="Q2" s="190"/>
    </row>
    <row r="3" spans="1:19" ht="18.75" thickBot="1" x14ac:dyDescent="0.3">
      <c r="A3" s="192" t="s">
        <v>52</v>
      </c>
      <c r="B3" s="193"/>
      <c r="C3" s="194"/>
      <c r="D3" s="193"/>
      <c r="E3" s="193"/>
      <c r="F3" s="193"/>
      <c r="G3" s="193"/>
      <c r="H3" s="193"/>
      <c r="I3" s="193"/>
      <c r="J3" s="193"/>
      <c r="K3" s="193"/>
      <c r="L3" s="193"/>
      <c r="M3" s="193"/>
      <c r="N3" s="193"/>
      <c r="O3" s="193"/>
      <c r="P3" s="193"/>
      <c r="Q3" s="193"/>
      <c r="R3" s="193"/>
      <c r="S3" s="195"/>
    </row>
    <row r="4" spans="1:19" x14ac:dyDescent="0.25">
      <c r="A4" s="637" t="s">
        <v>35</v>
      </c>
      <c r="B4" s="638" t="s">
        <v>34</v>
      </c>
      <c r="C4" s="622" t="s">
        <v>161</v>
      </c>
      <c r="D4" s="639" t="s">
        <v>43</v>
      </c>
      <c r="E4" s="639"/>
      <c r="F4" s="640"/>
      <c r="G4" s="640"/>
      <c r="H4" s="640"/>
      <c r="I4" s="640"/>
      <c r="J4" s="641"/>
      <c r="K4" s="642"/>
      <c r="L4" s="196"/>
      <c r="M4" s="197" t="s">
        <v>42</v>
      </c>
      <c r="N4" s="197"/>
      <c r="O4" s="197"/>
      <c r="P4" s="197"/>
      <c r="Q4" s="197"/>
      <c r="R4" s="198"/>
      <c r="S4" s="611" t="s">
        <v>41</v>
      </c>
    </row>
    <row r="5" spans="1:19" ht="105" x14ac:dyDescent="0.25">
      <c r="A5" s="637"/>
      <c r="B5" s="638"/>
      <c r="C5" s="622"/>
      <c r="D5" s="199" t="s">
        <v>51</v>
      </c>
      <c r="E5" s="199" t="s">
        <v>162</v>
      </c>
      <c r="F5" s="200" t="s">
        <v>50</v>
      </c>
      <c r="G5" s="200" t="s">
        <v>163</v>
      </c>
      <c r="H5" s="200" t="s">
        <v>164</v>
      </c>
      <c r="I5" s="201"/>
      <c r="J5" s="644" t="s">
        <v>180</v>
      </c>
      <c r="K5" s="645"/>
      <c r="L5" s="201" t="s">
        <v>165</v>
      </c>
      <c r="M5" s="201" t="s">
        <v>166</v>
      </c>
      <c r="N5" s="202" t="s">
        <v>49</v>
      </c>
      <c r="O5" s="202" t="s">
        <v>48</v>
      </c>
      <c r="P5" s="202" t="s">
        <v>47</v>
      </c>
      <c r="Q5" s="644" t="s">
        <v>167</v>
      </c>
      <c r="R5" s="645"/>
      <c r="S5" s="643"/>
    </row>
    <row r="6" spans="1:19" s="209" customFormat="1" x14ac:dyDescent="0.25">
      <c r="A6" s="615"/>
      <c r="B6" s="617"/>
      <c r="C6" s="622"/>
      <c r="D6" s="203" t="s">
        <v>23</v>
      </c>
      <c r="E6" s="203" t="s">
        <v>151</v>
      </c>
      <c r="F6" s="204" t="s">
        <v>22</v>
      </c>
      <c r="G6" s="204" t="s">
        <v>151</v>
      </c>
      <c r="H6" s="204" t="s">
        <v>23</v>
      </c>
      <c r="I6" s="205"/>
      <c r="J6" s="206" t="s">
        <v>23</v>
      </c>
      <c r="K6" s="207" t="s">
        <v>21</v>
      </c>
      <c r="L6" s="205" t="s">
        <v>151</v>
      </c>
      <c r="M6" s="205" t="s">
        <v>23</v>
      </c>
      <c r="N6" s="204"/>
      <c r="O6" s="204" t="s">
        <v>23</v>
      </c>
      <c r="P6" s="206" t="s">
        <v>22</v>
      </c>
      <c r="Q6" s="206" t="s">
        <v>23</v>
      </c>
      <c r="R6" s="207" t="s">
        <v>21</v>
      </c>
      <c r="S6" s="208" t="s">
        <v>21</v>
      </c>
    </row>
    <row r="7" spans="1:19" s="210" customFormat="1" x14ac:dyDescent="0.25">
      <c r="A7" s="125"/>
      <c r="B7" s="125"/>
      <c r="C7" s="125"/>
      <c r="D7" s="125"/>
      <c r="E7" s="125"/>
      <c r="F7" s="125"/>
      <c r="G7" s="125"/>
      <c r="H7" s="125"/>
      <c r="I7" s="125"/>
      <c r="J7" s="125"/>
      <c r="K7" s="125"/>
      <c r="L7" s="125"/>
      <c r="M7" s="125"/>
      <c r="N7" s="125"/>
      <c r="O7" s="125"/>
      <c r="P7" s="125"/>
      <c r="Q7" s="125"/>
      <c r="R7" s="125"/>
      <c r="S7" s="125"/>
    </row>
    <row r="8" spans="1:19" x14ac:dyDescent="0.25">
      <c r="A8" s="646">
        <v>1</v>
      </c>
      <c r="B8" s="647" t="s">
        <v>32</v>
      </c>
      <c r="C8" s="211" t="s">
        <v>168</v>
      </c>
      <c r="D8" s="212"/>
      <c r="E8" s="213"/>
      <c r="F8" s="162"/>
      <c r="G8" s="213"/>
      <c r="H8" s="366"/>
      <c r="I8" s="212"/>
      <c r="J8" s="164"/>
      <c r="K8" s="214"/>
      <c r="L8" s="260"/>
      <c r="M8" s="260"/>
      <c r="N8" s="261"/>
      <c r="O8" s="212"/>
      <c r="P8" s="262"/>
      <c r="Q8" s="164"/>
      <c r="R8" s="214"/>
      <c r="S8" s="215"/>
    </row>
    <row r="9" spans="1:19" s="113" customFormat="1" x14ac:dyDescent="0.25">
      <c r="A9" s="646"/>
      <c r="B9" s="647"/>
      <c r="C9" s="327" t="s">
        <v>169</v>
      </c>
      <c r="D9" s="217"/>
      <c r="E9" s="218"/>
      <c r="F9" s="162"/>
      <c r="G9" s="218"/>
      <c r="H9" s="367"/>
      <c r="I9" s="217"/>
      <c r="J9" s="164"/>
      <c r="K9" s="214"/>
      <c r="L9" s="263"/>
      <c r="M9" s="263"/>
      <c r="N9" s="264"/>
      <c r="O9" s="217"/>
      <c r="P9" s="265"/>
      <c r="Q9" s="148"/>
      <c r="R9" s="160"/>
      <c r="S9" s="161"/>
    </row>
    <row r="10" spans="1:19" s="113" customFormat="1" ht="25.5" x14ac:dyDescent="0.25">
      <c r="A10" s="646"/>
      <c r="B10" s="647"/>
      <c r="C10" s="327" t="s">
        <v>170</v>
      </c>
      <c r="D10" s="258"/>
      <c r="E10" s="259"/>
      <c r="F10" s="162"/>
      <c r="G10" s="259"/>
      <c r="H10" s="366"/>
      <c r="I10" s="258"/>
      <c r="J10" s="164"/>
      <c r="K10" s="214"/>
      <c r="L10" s="266"/>
      <c r="M10" s="267"/>
      <c r="N10" s="266"/>
      <c r="O10" s="268"/>
      <c r="P10" s="269"/>
      <c r="Q10" s="270"/>
      <c r="R10" s="271"/>
      <c r="S10" s="328"/>
    </row>
    <row r="11" spans="1:19" x14ac:dyDescent="0.25">
      <c r="A11" s="646"/>
      <c r="B11" s="647"/>
      <c r="C11" s="216" t="s">
        <v>171</v>
      </c>
      <c r="D11" s="346"/>
      <c r="E11" s="347"/>
      <c r="F11" s="162"/>
      <c r="G11" s="347"/>
      <c r="H11" s="368"/>
      <c r="I11" s="346"/>
      <c r="J11" s="336"/>
      <c r="K11" s="214"/>
      <c r="L11" s="349"/>
      <c r="M11" s="349"/>
      <c r="N11" s="350"/>
      <c r="O11" s="346"/>
      <c r="P11" s="351"/>
      <c r="Q11" s="352"/>
      <c r="R11" s="348"/>
      <c r="S11" s="337"/>
    </row>
    <row r="12" spans="1:19" ht="15.75" thickBot="1" x14ac:dyDescent="0.3">
      <c r="A12" s="646"/>
      <c r="B12" s="647"/>
      <c r="C12" s="216" t="s">
        <v>172</v>
      </c>
      <c r="D12" s="217"/>
      <c r="E12" s="218"/>
      <c r="F12" s="162"/>
      <c r="G12" s="217"/>
      <c r="H12" s="367"/>
      <c r="I12" s="217"/>
      <c r="J12" s="164"/>
      <c r="K12" s="214"/>
      <c r="L12" s="263"/>
      <c r="M12" s="263"/>
      <c r="N12" s="264"/>
      <c r="O12" s="217"/>
      <c r="P12" s="265"/>
      <c r="Q12" s="148"/>
      <c r="R12" s="160"/>
      <c r="S12" s="161"/>
    </row>
    <row r="13" spans="1:19" s="220" customFormat="1" ht="16.5" thickTop="1" thickBot="1" x14ac:dyDescent="0.3">
      <c r="A13" s="646"/>
      <c r="B13" s="647"/>
      <c r="C13" s="317" t="s">
        <v>5</v>
      </c>
      <c r="D13" s="318"/>
      <c r="E13" s="318"/>
      <c r="F13" s="319"/>
      <c r="G13" s="318"/>
      <c r="H13" s="318"/>
      <c r="I13" s="318"/>
      <c r="J13" s="318"/>
      <c r="K13" s="320"/>
      <c r="L13" s="321"/>
      <c r="M13" s="321"/>
      <c r="N13" s="322"/>
      <c r="O13" s="318"/>
      <c r="P13" s="323"/>
      <c r="Q13" s="324"/>
      <c r="R13" s="320"/>
      <c r="S13" s="320"/>
    </row>
    <row r="14" spans="1:19" ht="15.75" thickTop="1" x14ac:dyDescent="0.25">
      <c r="A14" s="646">
        <v>2</v>
      </c>
      <c r="B14" s="647" t="s">
        <v>73</v>
      </c>
      <c r="C14" s="216" t="s">
        <v>168</v>
      </c>
      <c r="D14" s="217"/>
      <c r="E14" s="218"/>
      <c r="F14" s="146"/>
      <c r="G14" s="221"/>
      <c r="H14" s="369"/>
      <c r="I14" s="212"/>
      <c r="J14" s="164"/>
      <c r="K14" s="214"/>
      <c r="L14" s="263"/>
      <c r="M14" s="353"/>
      <c r="N14" s="260"/>
      <c r="O14" s="212"/>
      <c r="P14" s="280"/>
      <c r="Q14" s="164"/>
      <c r="R14" s="214"/>
      <c r="S14" s="161"/>
    </row>
    <row r="15" spans="1:19" x14ac:dyDescent="0.25">
      <c r="A15" s="646"/>
      <c r="B15" s="647"/>
      <c r="C15" s="216" t="s">
        <v>173</v>
      </c>
      <c r="D15" s="217"/>
      <c r="E15" s="218"/>
      <c r="F15" s="146"/>
      <c r="G15" s="218"/>
      <c r="H15" s="367"/>
      <c r="I15" s="217"/>
      <c r="J15" s="148"/>
      <c r="K15" s="160"/>
      <c r="L15" s="263"/>
      <c r="M15" s="263"/>
      <c r="N15" s="263"/>
      <c r="O15" s="264"/>
      <c r="P15" s="280"/>
      <c r="Q15" s="148"/>
      <c r="R15" s="160"/>
      <c r="S15" s="161"/>
    </row>
    <row r="16" spans="1:19" ht="25.5" x14ac:dyDescent="0.25">
      <c r="A16" s="646"/>
      <c r="B16" s="647"/>
      <c r="C16" s="219" t="s">
        <v>170</v>
      </c>
      <c r="D16" s="329"/>
      <c r="E16" s="330"/>
      <c r="F16" s="146"/>
      <c r="G16" s="330"/>
      <c r="H16" s="370"/>
      <c r="I16" s="329"/>
      <c r="J16" s="164"/>
      <c r="K16" s="214"/>
      <c r="L16" s="263"/>
      <c r="M16" s="331"/>
      <c r="N16" s="332"/>
      <c r="O16" s="331"/>
      <c r="P16" s="280"/>
      <c r="Q16" s="148"/>
      <c r="R16" s="160"/>
      <c r="S16" s="161"/>
    </row>
    <row r="17" spans="1:19" x14ac:dyDescent="0.25">
      <c r="A17" s="646"/>
      <c r="B17" s="647"/>
      <c r="C17" s="216" t="s">
        <v>171</v>
      </c>
      <c r="D17" s="222"/>
      <c r="E17" s="223"/>
      <c r="F17" s="146"/>
      <c r="G17" s="223"/>
      <c r="H17" s="371"/>
      <c r="I17" s="224"/>
      <c r="J17" s="148"/>
      <c r="K17" s="160"/>
      <c r="L17" s="263"/>
      <c r="M17" s="263"/>
      <c r="N17" s="263"/>
      <c r="O17" s="264"/>
      <c r="P17" s="280"/>
      <c r="Q17" s="148"/>
      <c r="R17" s="160"/>
      <c r="S17" s="161"/>
    </row>
    <row r="18" spans="1:19" ht="15.75" thickBot="1" x14ac:dyDescent="0.3">
      <c r="A18" s="646"/>
      <c r="B18" s="647"/>
      <c r="C18" s="216" t="s">
        <v>172</v>
      </c>
      <c r="D18" s="217"/>
      <c r="E18" s="218"/>
      <c r="F18" s="146"/>
      <c r="G18" s="218"/>
      <c r="H18" s="367"/>
      <c r="I18" s="224"/>
      <c r="J18" s="164"/>
      <c r="K18" s="214"/>
      <c r="L18" s="263"/>
      <c r="M18" s="263"/>
      <c r="N18" s="263"/>
      <c r="O18" s="264"/>
      <c r="P18" s="280"/>
      <c r="Q18" s="148"/>
      <c r="R18" s="160"/>
      <c r="S18" s="161"/>
    </row>
    <row r="19" spans="1:19" ht="16.5" thickTop="1" thickBot="1" x14ac:dyDescent="0.3">
      <c r="A19" s="646"/>
      <c r="B19" s="647"/>
      <c r="C19" s="317" t="s">
        <v>5</v>
      </c>
      <c r="D19" s="318"/>
      <c r="E19" s="318"/>
      <c r="F19" s="325"/>
      <c r="G19" s="326"/>
      <c r="H19" s="318"/>
      <c r="I19" s="325"/>
      <c r="J19" s="318"/>
      <c r="K19" s="320"/>
      <c r="L19" s="321"/>
      <c r="M19" s="321"/>
      <c r="N19" s="322"/>
      <c r="O19" s="318"/>
      <c r="P19" s="323"/>
      <c r="Q19" s="324"/>
      <c r="R19" s="320"/>
      <c r="S19" s="320"/>
    </row>
    <row r="20" spans="1:19" ht="15.75" thickTop="1" x14ac:dyDescent="0.25">
      <c r="A20" s="646">
        <v>3</v>
      </c>
      <c r="B20" s="647" t="s">
        <v>74</v>
      </c>
      <c r="C20" s="216" t="s">
        <v>168</v>
      </c>
      <c r="D20" s="217"/>
      <c r="E20" s="218"/>
      <c r="F20" s="146"/>
      <c r="G20" s="221"/>
      <c r="H20" s="369"/>
      <c r="I20" s="212"/>
      <c r="J20" s="164"/>
      <c r="K20" s="214"/>
      <c r="L20" s="263"/>
      <c r="M20" s="353"/>
      <c r="N20" s="260"/>
      <c r="O20" s="212"/>
      <c r="P20" s="280"/>
      <c r="Q20" s="164"/>
      <c r="R20" s="214"/>
      <c r="S20" s="161"/>
    </row>
    <row r="21" spans="1:19" x14ac:dyDescent="0.25">
      <c r="A21" s="646"/>
      <c r="B21" s="647"/>
      <c r="C21" s="216" t="s">
        <v>173</v>
      </c>
      <c r="D21" s="217"/>
      <c r="E21" s="218"/>
      <c r="F21" s="146"/>
      <c r="G21" s="218"/>
      <c r="H21" s="367"/>
      <c r="I21" s="217"/>
      <c r="J21" s="148"/>
      <c r="K21" s="160"/>
      <c r="L21" s="263"/>
      <c r="M21" s="263"/>
      <c r="N21" s="263"/>
      <c r="O21" s="264"/>
      <c r="P21" s="280"/>
      <c r="Q21" s="148"/>
      <c r="R21" s="160"/>
      <c r="S21" s="161"/>
    </row>
    <row r="22" spans="1:19" ht="25.5" x14ac:dyDescent="0.25">
      <c r="A22" s="646"/>
      <c r="B22" s="647"/>
      <c r="C22" s="219" t="s">
        <v>170</v>
      </c>
      <c r="D22" s="329"/>
      <c r="E22" s="330"/>
      <c r="F22" s="146"/>
      <c r="G22" s="330"/>
      <c r="H22" s="370"/>
      <c r="I22" s="329"/>
      <c r="J22" s="164"/>
      <c r="K22" s="214"/>
      <c r="L22" s="263"/>
      <c r="M22" s="331"/>
      <c r="N22" s="332"/>
      <c r="O22" s="331"/>
      <c r="P22" s="280"/>
      <c r="Q22" s="148"/>
      <c r="R22" s="160"/>
      <c r="S22" s="161"/>
    </row>
    <row r="23" spans="1:19" x14ac:dyDescent="0.25">
      <c r="A23" s="646"/>
      <c r="B23" s="647"/>
      <c r="C23" s="216" t="s">
        <v>171</v>
      </c>
      <c r="D23" s="222"/>
      <c r="E23" s="223"/>
      <c r="F23" s="146"/>
      <c r="G23" s="223"/>
      <c r="H23" s="371"/>
      <c r="I23" s="224"/>
      <c r="J23" s="148"/>
      <c r="K23" s="160"/>
      <c r="L23" s="263"/>
      <c r="M23" s="263"/>
      <c r="N23" s="263"/>
      <c r="O23" s="264"/>
      <c r="P23" s="280"/>
      <c r="Q23" s="148"/>
      <c r="R23" s="160"/>
      <c r="S23" s="161"/>
    </row>
    <row r="24" spans="1:19" ht="15.75" thickBot="1" x14ac:dyDescent="0.3">
      <c r="A24" s="646"/>
      <c r="B24" s="647"/>
      <c r="C24" s="216" t="s">
        <v>172</v>
      </c>
      <c r="D24" s="217"/>
      <c r="E24" s="218"/>
      <c r="F24" s="146"/>
      <c r="G24" s="218"/>
      <c r="H24" s="367"/>
      <c r="I24" s="224"/>
      <c r="J24" s="164"/>
      <c r="K24" s="214"/>
      <c r="L24" s="263"/>
      <c r="M24" s="263"/>
      <c r="N24" s="263"/>
      <c r="O24" s="264"/>
      <c r="P24" s="280"/>
      <c r="Q24" s="148"/>
      <c r="R24" s="160"/>
      <c r="S24" s="161"/>
    </row>
    <row r="25" spans="1:19" ht="16.5" thickTop="1" thickBot="1" x14ac:dyDescent="0.3">
      <c r="A25" s="646"/>
      <c r="B25" s="647"/>
      <c r="C25" s="317" t="s">
        <v>5</v>
      </c>
      <c r="D25" s="318"/>
      <c r="E25" s="318"/>
      <c r="F25" s="325"/>
      <c r="G25" s="326"/>
      <c r="H25" s="318"/>
      <c r="I25" s="325"/>
      <c r="J25" s="318"/>
      <c r="K25" s="320"/>
      <c r="L25" s="321"/>
      <c r="M25" s="321"/>
      <c r="N25" s="322"/>
      <c r="O25" s="318"/>
      <c r="P25" s="323"/>
      <c r="Q25" s="324"/>
      <c r="R25" s="320"/>
      <c r="S25" s="320"/>
    </row>
    <row r="26" spans="1:19" s="362" customFormat="1" ht="16.5" thickTop="1" thickBot="1" x14ac:dyDescent="0.3">
      <c r="A26" s="354"/>
      <c r="B26" s="355"/>
      <c r="C26" s="355"/>
      <c r="D26" s="225"/>
      <c r="E26" s="225"/>
      <c r="F26" s="226"/>
      <c r="G26" s="227"/>
      <c r="H26" s="228"/>
      <c r="I26" s="229"/>
      <c r="J26" s="356"/>
      <c r="K26" s="357"/>
      <c r="L26" s="358"/>
      <c r="M26" s="358"/>
      <c r="N26" s="359"/>
      <c r="O26" s="165"/>
      <c r="P26" s="360"/>
      <c r="Q26" s="356"/>
      <c r="R26" s="357"/>
      <c r="S26" s="361"/>
    </row>
    <row r="27" spans="1:19" ht="16.5" thickTop="1" thickBot="1" x14ac:dyDescent="0.3">
      <c r="A27" s="648" t="s">
        <v>5</v>
      </c>
      <c r="B27" s="649"/>
      <c r="C27" s="171"/>
      <c r="D27" s="230"/>
      <c r="E27" s="231"/>
      <c r="F27" s="232"/>
      <c r="G27" s="232"/>
      <c r="H27" s="230"/>
      <c r="I27" s="232"/>
      <c r="J27" s="230"/>
      <c r="K27" s="234"/>
      <c r="L27" s="235"/>
      <c r="M27" s="236"/>
      <c r="N27" s="237"/>
      <c r="O27" s="233"/>
      <c r="P27" s="237"/>
      <c r="Q27" s="233"/>
      <c r="R27" s="238"/>
      <c r="S27" s="234"/>
    </row>
    <row r="29" spans="1:19" x14ac:dyDescent="0.25">
      <c r="A29" s="187" t="s">
        <v>46</v>
      </c>
    </row>
    <row r="31" spans="1:19" x14ac:dyDescent="0.25">
      <c r="H31" s="333"/>
    </row>
    <row r="33" spans="8:8" x14ac:dyDescent="0.25">
      <c r="H33" s="333"/>
    </row>
  </sheetData>
  <mergeCells count="14">
    <mergeCell ref="A8:A13"/>
    <mergeCell ref="B8:B13"/>
    <mergeCell ref="A27:B27"/>
    <mergeCell ref="A14:A19"/>
    <mergeCell ref="B14:B19"/>
    <mergeCell ref="A20:A25"/>
    <mergeCell ref="B20:B25"/>
    <mergeCell ref="A4:A6"/>
    <mergeCell ref="B4:B6"/>
    <mergeCell ref="C4:C6"/>
    <mergeCell ref="D4:K4"/>
    <mergeCell ref="S4:S5"/>
    <mergeCell ref="J5:K5"/>
    <mergeCell ref="Q5:R5"/>
  </mergeCells>
  <conditionalFormatting sqref="R26:R27 S13 R11:R13 R8:R9 R15:R18">
    <cfRule type="cellIs" dxfId="12" priority="31" operator="lessThan">
      <formula>0</formula>
    </cfRule>
  </conditionalFormatting>
  <conditionalFormatting sqref="R10">
    <cfRule type="cellIs" dxfId="11" priority="29" operator="lessThan">
      <formula>0</formula>
    </cfRule>
  </conditionalFormatting>
  <conditionalFormatting sqref="R19">
    <cfRule type="cellIs" dxfId="10" priority="25" operator="lessThan">
      <formula>0</formula>
    </cfRule>
  </conditionalFormatting>
  <conditionalFormatting sqref="S19">
    <cfRule type="cellIs" dxfId="9" priority="24" operator="lessThan">
      <formula>0</formula>
    </cfRule>
  </conditionalFormatting>
  <conditionalFormatting sqref="K13">
    <cfRule type="cellIs" dxfId="8" priority="23" operator="lessThan">
      <formula>0</formula>
    </cfRule>
  </conditionalFormatting>
  <conditionalFormatting sqref="R14">
    <cfRule type="cellIs" dxfId="7" priority="19" operator="lessThan">
      <formula>0</formula>
    </cfRule>
  </conditionalFormatting>
  <conditionalFormatting sqref="K19">
    <cfRule type="cellIs" dxfId="6" priority="16" operator="lessThan">
      <formula>0</formula>
    </cfRule>
  </conditionalFormatting>
  <conditionalFormatting sqref="R21:R24">
    <cfRule type="cellIs" dxfId="5" priority="15" operator="lessThan">
      <formula>0</formula>
    </cfRule>
  </conditionalFormatting>
  <conditionalFormatting sqref="R25">
    <cfRule type="cellIs" dxfId="4" priority="14" operator="lessThan">
      <formula>0</formula>
    </cfRule>
  </conditionalFormatting>
  <conditionalFormatting sqref="S25">
    <cfRule type="cellIs" dxfId="3" priority="13" operator="lessThan">
      <formula>0</formula>
    </cfRule>
  </conditionalFormatting>
  <conditionalFormatting sqref="R20">
    <cfRule type="cellIs" dxfId="2" priority="12" operator="lessThan">
      <formula>0</formula>
    </cfRule>
  </conditionalFormatting>
  <conditionalFormatting sqref="K25">
    <cfRule type="cellIs" dxfId="1" priority="11" operator="lessThan">
      <formula>0</formula>
    </cfRule>
  </conditionalFormatting>
  <pageMargins left="0.7" right="0.7" top="0.75" bottom="0.75" header="0.3" footer="0.3"/>
  <pageSetup paperSize="9" scale="5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F18"/>
  <sheetViews>
    <sheetView workbookViewId="0">
      <selection activeCell="J30" sqref="J30"/>
    </sheetView>
  </sheetViews>
  <sheetFormatPr defaultColWidth="8.85546875" defaultRowHeight="15" x14ac:dyDescent="0.25"/>
  <cols>
    <col min="1" max="1" width="4.7109375" style="255" customWidth="1"/>
    <col min="2" max="2" width="6.7109375" style="255" bestFit="1" customWidth="1"/>
    <col min="3" max="5" width="28.28515625" style="255" customWidth="1"/>
    <col min="6" max="6" width="24.28515625" style="240" customWidth="1"/>
    <col min="7" max="256" width="8.85546875" style="240"/>
    <col min="257" max="257" width="4.7109375" style="240" customWidth="1"/>
    <col min="258" max="258" width="6.7109375" style="240" bestFit="1" customWidth="1"/>
    <col min="259" max="262" width="16.7109375" style="240" customWidth="1"/>
    <col min="263" max="512" width="8.85546875" style="240"/>
    <col min="513" max="513" width="4.7109375" style="240" customWidth="1"/>
    <col min="514" max="514" width="6.7109375" style="240" bestFit="1" customWidth="1"/>
    <col min="515" max="518" width="16.7109375" style="240" customWidth="1"/>
    <col min="519" max="768" width="8.85546875" style="240"/>
    <col min="769" max="769" width="4.7109375" style="240" customWidth="1"/>
    <col min="770" max="770" width="6.7109375" style="240" bestFit="1" customWidth="1"/>
    <col min="771" max="774" width="16.7109375" style="240" customWidth="1"/>
    <col min="775" max="1024" width="8.85546875" style="240"/>
    <col min="1025" max="1025" width="4.7109375" style="240" customWidth="1"/>
    <col min="1026" max="1026" width="6.7109375" style="240" bestFit="1" customWidth="1"/>
    <col min="1027" max="1030" width="16.7109375" style="240" customWidth="1"/>
    <col min="1031" max="1280" width="8.85546875" style="240"/>
    <col min="1281" max="1281" width="4.7109375" style="240" customWidth="1"/>
    <col min="1282" max="1282" width="6.7109375" style="240" bestFit="1" customWidth="1"/>
    <col min="1283" max="1286" width="16.7109375" style="240" customWidth="1"/>
    <col min="1287" max="1536" width="8.85546875" style="240"/>
    <col min="1537" max="1537" width="4.7109375" style="240" customWidth="1"/>
    <col min="1538" max="1538" width="6.7109375" style="240" bestFit="1" customWidth="1"/>
    <col min="1539" max="1542" width="16.7109375" style="240" customWidth="1"/>
    <col min="1543" max="1792" width="8.85546875" style="240"/>
    <col min="1793" max="1793" width="4.7109375" style="240" customWidth="1"/>
    <col min="1794" max="1794" width="6.7109375" style="240" bestFit="1" customWidth="1"/>
    <col min="1795" max="1798" width="16.7109375" style="240" customWidth="1"/>
    <col min="1799" max="2048" width="8.85546875" style="240"/>
    <col min="2049" max="2049" width="4.7109375" style="240" customWidth="1"/>
    <col min="2050" max="2050" width="6.7109375" style="240" bestFit="1" customWidth="1"/>
    <col min="2051" max="2054" width="16.7109375" style="240" customWidth="1"/>
    <col min="2055" max="2304" width="8.85546875" style="240"/>
    <col min="2305" max="2305" width="4.7109375" style="240" customWidth="1"/>
    <col min="2306" max="2306" width="6.7109375" style="240" bestFit="1" customWidth="1"/>
    <col min="2307" max="2310" width="16.7109375" style="240" customWidth="1"/>
    <col min="2311" max="2560" width="8.85546875" style="240"/>
    <col min="2561" max="2561" width="4.7109375" style="240" customWidth="1"/>
    <col min="2562" max="2562" width="6.7109375" style="240" bestFit="1" customWidth="1"/>
    <col min="2563" max="2566" width="16.7109375" style="240" customWidth="1"/>
    <col min="2567" max="2816" width="8.85546875" style="240"/>
    <col min="2817" max="2817" width="4.7109375" style="240" customWidth="1"/>
    <col min="2818" max="2818" width="6.7109375" style="240" bestFit="1" customWidth="1"/>
    <col min="2819" max="2822" width="16.7109375" style="240" customWidth="1"/>
    <col min="2823" max="3072" width="8.85546875" style="240"/>
    <col min="3073" max="3073" width="4.7109375" style="240" customWidth="1"/>
    <col min="3074" max="3074" width="6.7109375" style="240" bestFit="1" customWidth="1"/>
    <col min="3075" max="3078" width="16.7109375" style="240" customWidth="1"/>
    <col min="3079" max="3328" width="8.85546875" style="240"/>
    <col min="3329" max="3329" width="4.7109375" style="240" customWidth="1"/>
    <col min="3330" max="3330" width="6.7109375" style="240" bestFit="1" customWidth="1"/>
    <col min="3331" max="3334" width="16.7109375" style="240" customWidth="1"/>
    <col min="3335" max="3584" width="8.85546875" style="240"/>
    <col min="3585" max="3585" width="4.7109375" style="240" customWidth="1"/>
    <col min="3586" max="3586" width="6.7109375" style="240" bestFit="1" customWidth="1"/>
    <col min="3587" max="3590" width="16.7109375" style="240" customWidth="1"/>
    <col min="3591" max="3840" width="8.85546875" style="240"/>
    <col min="3841" max="3841" width="4.7109375" style="240" customWidth="1"/>
    <col min="3842" max="3842" width="6.7109375" style="240" bestFit="1" customWidth="1"/>
    <col min="3843" max="3846" width="16.7109375" style="240" customWidth="1"/>
    <col min="3847" max="4096" width="8.85546875" style="240"/>
    <col min="4097" max="4097" width="4.7109375" style="240" customWidth="1"/>
    <col min="4098" max="4098" width="6.7109375" style="240" bestFit="1" customWidth="1"/>
    <col min="4099" max="4102" width="16.7109375" style="240" customWidth="1"/>
    <col min="4103" max="4352" width="8.85546875" style="240"/>
    <col min="4353" max="4353" width="4.7109375" style="240" customWidth="1"/>
    <col min="4354" max="4354" width="6.7109375" style="240" bestFit="1" customWidth="1"/>
    <col min="4355" max="4358" width="16.7109375" style="240" customWidth="1"/>
    <col min="4359" max="4608" width="8.85546875" style="240"/>
    <col min="4609" max="4609" width="4.7109375" style="240" customWidth="1"/>
    <col min="4610" max="4610" width="6.7109375" style="240" bestFit="1" customWidth="1"/>
    <col min="4611" max="4614" width="16.7109375" style="240" customWidth="1"/>
    <col min="4615" max="4864" width="8.85546875" style="240"/>
    <col min="4865" max="4865" width="4.7109375" style="240" customWidth="1"/>
    <col min="4866" max="4866" width="6.7109375" style="240" bestFit="1" customWidth="1"/>
    <col min="4867" max="4870" width="16.7109375" style="240" customWidth="1"/>
    <col min="4871" max="5120" width="8.85546875" style="240"/>
    <col min="5121" max="5121" width="4.7109375" style="240" customWidth="1"/>
    <col min="5122" max="5122" width="6.7109375" style="240" bestFit="1" customWidth="1"/>
    <col min="5123" max="5126" width="16.7109375" style="240" customWidth="1"/>
    <col min="5127" max="5376" width="8.85546875" style="240"/>
    <col min="5377" max="5377" width="4.7109375" style="240" customWidth="1"/>
    <col min="5378" max="5378" width="6.7109375" style="240" bestFit="1" customWidth="1"/>
    <col min="5379" max="5382" width="16.7109375" style="240" customWidth="1"/>
    <col min="5383" max="5632" width="8.85546875" style="240"/>
    <col min="5633" max="5633" width="4.7109375" style="240" customWidth="1"/>
    <col min="5634" max="5634" width="6.7109375" style="240" bestFit="1" customWidth="1"/>
    <col min="5635" max="5638" width="16.7109375" style="240" customWidth="1"/>
    <col min="5639" max="5888" width="8.85546875" style="240"/>
    <col min="5889" max="5889" width="4.7109375" style="240" customWidth="1"/>
    <col min="5890" max="5890" width="6.7109375" style="240" bestFit="1" customWidth="1"/>
    <col min="5891" max="5894" width="16.7109375" style="240" customWidth="1"/>
    <col min="5895" max="6144" width="8.85546875" style="240"/>
    <col min="6145" max="6145" width="4.7109375" style="240" customWidth="1"/>
    <col min="6146" max="6146" width="6.7109375" style="240" bestFit="1" customWidth="1"/>
    <col min="6147" max="6150" width="16.7109375" style="240" customWidth="1"/>
    <col min="6151" max="6400" width="8.85546875" style="240"/>
    <col min="6401" max="6401" width="4.7109375" style="240" customWidth="1"/>
    <col min="6402" max="6402" width="6.7109375" style="240" bestFit="1" customWidth="1"/>
    <col min="6403" max="6406" width="16.7109375" style="240" customWidth="1"/>
    <col min="6407" max="6656" width="8.85546875" style="240"/>
    <col min="6657" max="6657" width="4.7109375" style="240" customWidth="1"/>
    <col min="6658" max="6658" width="6.7109375" style="240" bestFit="1" customWidth="1"/>
    <col min="6659" max="6662" width="16.7109375" style="240" customWidth="1"/>
    <col min="6663" max="6912" width="8.85546875" style="240"/>
    <col min="6913" max="6913" width="4.7109375" style="240" customWidth="1"/>
    <col min="6914" max="6914" width="6.7109375" style="240" bestFit="1" customWidth="1"/>
    <col min="6915" max="6918" width="16.7109375" style="240" customWidth="1"/>
    <col min="6919" max="7168" width="8.85546875" style="240"/>
    <col min="7169" max="7169" width="4.7109375" style="240" customWidth="1"/>
    <col min="7170" max="7170" width="6.7109375" style="240" bestFit="1" customWidth="1"/>
    <col min="7171" max="7174" width="16.7109375" style="240" customWidth="1"/>
    <col min="7175" max="7424" width="8.85546875" style="240"/>
    <col min="7425" max="7425" width="4.7109375" style="240" customWidth="1"/>
    <col min="7426" max="7426" width="6.7109375" style="240" bestFit="1" customWidth="1"/>
    <col min="7427" max="7430" width="16.7109375" style="240" customWidth="1"/>
    <col min="7431" max="7680" width="8.85546875" style="240"/>
    <col min="7681" max="7681" width="4.7109375" style="240" customWidth="1"/>
    <col min="7682" max="7682" width="6.7109375" style="240" bestFit="1" customWidth="1"/>
    <col min="7683" max="7686" width="16.7109375" style="240" customWidth="1"/>
    <col min="7687" max="7936" width="8.85546875" style="240"/>
    <col min="7937" max="7937" width="4.7109375" style="240" customWidth="1"/>
    <col min="7938" max="7938" width="6.7109375" style="240" bestFit="1" customWidth="1"/>
    <col min="7939" max="7942" width="16.7109375" style="240" customWidth="1"/>
    <col min="7943" max="8192" width="8.85546875" style="240"/>
    <col min="8193" max="8193" width="4.7109375" style="240" customWidth="1"/>
    <col min="8194" max="8194" width="6.7109375" style="240" bestFit="1" customWidth="1"/>
    <col min="8195" max="8198" width="16.7109375" style="240" customWidth="1"/>
    <col min="8199" max="8448" width="8.85546875" style="240"/>
    <col min="8449" max="8449" width="4.7109375" style="240" customWidth="1"/>
    <col min="8450" max="8450" width="6.7109375" style="240" bestFit="1" customWidth="1"/>
    <col min="8451" max="8454" width="16.7109375" style="240" customWidth="1"/>
    <col min="8455" max="8704" width="8.85546875" style="240"/>
    <col min="8705" max="8705" width="4.7109375" style="240" customWidth="1"/>
    <col min="8706" max="8706" width="6.7109375" style="240" bestFit="1" customWidth="1"/>
    <col min="8707" max="8710" width="16.7109375" style="240" customWidth="1"/>
    <col min="8711" max="8960" width="8.85546875" style="240"/>
    <col min="8961" max="8961" width="4.7109375" style="240" customWidth="1"/>
    <col min="8962" max="8962" width="6.7109375" style="240" bestFit="1" customWidth="1"/>
    <col min="8963" max="8966" width="16.7109375" style="240" customWidth="1"/>
    <col min="8967" max="9216" width="8.85546875" style="240"/>
    <col min="9217" max="9217" width="4.7109375" style="240" customWidth="1"/>
    <col min="9218" max="9218" width="6.7109375" style="240" bestFit="1" customWidth="1"/>
    <col min="9219" max="9222" width="16.7109375" style="240" customWidth="1"/>
    <col min="9223" max="9472" width="8.85546875" style="240"/>
    <col min="9473" max="9473" width="4.7109375" style="240" customWidth="1"/>
    <col min="9474" max="9474" width="6.7109375" style="240" bestFit="1" customWidth="1"/>
    <col min="9475" max="9478" width="16.7109375" style="240" customWidth="1"/>
    <col min="9479" max="9728" width="8.85546875" style="240"/>
    <col min="9729" max="9729" width="4.7109375" style="240" customWidth="1"/>
    <col min="9730" max="9730" width="6.7109375" style="240" bestFit="1" customWidth="1"/>
    <col min="9731" max="9734" width="16.7109375" style="240" customWidth="1"/>
    <col min="9735" max="9984" width="8.85546875" style="240"/>
    <col min="9985" max="9985" width="4.7109375" style="240" customWidth="1"/>
    <col min="9986" max="9986" width="6.7109375" style="240" bestFit="1" customWidth="1"/>
    <col min="9987" max="9990" width="16.7109375" style="240" customWidth="1"/>
    <col min="9991" max="10240" width="8.85546875" style="240"/>
    <col min="10241" max="10241" width="4.7109375" style="240" customWidth="1"/>
    <col min="10242" max="10242" width="6.7109375" style="240" bestFit="1" customWidth="1"/>
    <col min="10243" max="10246" width="16.7109375" style="240" customWidth="1"/>
    <col min="10247" max="10496" width="8.85546875" style="240"/>
    <col min="10497" max="10497" width="4.7109375" style="240" customWidth="1"/>
    <col min="10498" max="10498" width="6.7109375" style="240" bestFit="1" customWidth="1"/>
    <col min="10499" max="10502" width="16.7109375" style="240" customWidth="1"/>
    <col min="10503" max="10752" width="8.85546875" style="240"/>
    <col min="10753" max="10753" width="4.7109375" style="240" customWidth="1"/>
    <col min="10754" max="10754" width="6.7109375" style="240" bestFit="1" customWidth="1"/>
    <col min="10755" max="10758" width="16.7109375" style="240" customWidth="1"/>
    <col min="10759" max="11008" width="8.85546875" style="240"/>
    <col min="11009" max="11009" width="4.7109375" style="240" customWidth="1"/>
    <col min="11010" max="11010" width="6.7109375" style="240" bestFit="1" customWidth="1"/>
    <col min="11011" max="11014" width="16.7109375" style="240" customWidth="1"/>
    <col min="11015" max="11264" width="8.85546875" style="240"/>
    <col min="11265" max="11265" width="4.7109375" style="240" customWidth="1"/>
    <col min="11266" max="11266" width="6.7109375" style="240" bestFit="1" customWidth="1"/>
    <col min="11267" max="11270" width="16.7109375" style="240" customWidth="1"/>
    <col min="11271" max="11520" width="8.85546875" style="240"/>
    <col min="11521" max="11521" width="4.7109375" style="240" customWidth="1"/>
    <col min="11522" max="11522" width="6.7109375" style="240" bestFit="1" customWidth="1"/>
    <col min="11523" max="11526" width="16.7109375" style="240" customWidth="1"/>
    <col min="11527" max="11776" width="8.85546875" style="240"/>
    <col min="11777" max="11777" width="4.7109375" style="240" customWidth="1"/>
    <col min="11778" max="11778" width="6.7109375" style="240" bestFit="1" customWidth="1"/>
    <col min="11779" max="11782" width="16.7109375" style="240" customWidth="1"/>
    <col min="11783" max="12032" width="8.85546875" style="240"/>
    <col min="12033" max="12033" width="4.7109375" style="240" customWidth="1"/>
    <col min="12034" max="12034" width="6.7109375" style="240" bestFit="1" customWidth="1"/>
    <col min="12035" max="12038" width="16.7109375" style="240" customWidth="1"/>
    <col min="12039" max="12288" width="8.85546875" style="240"/>
    <col min="12289" max="12289" width="4.7109375" style="240" customWidth="1"/>
    <col min="12290" max="12290" width="6.7109375" style="240" bestFit="1" customWidth="1"/>
    <col min="12291" max="12294" width="16.7109375" style="240" customWidth="1"/>
    <col min="12295" max="12544" width="8.85546875" style="240"/>
    <col min="12545" max="12545" width="4.7109375" style="240" customWidth="1"/>
    <col min="12546" max="12546" width="6.7109375" style="240" bestFit="1" customWidth="1"/>
    <col min="12547" max="12550" width="16.7109375" style="240" customWidth="1"/>
    <col min="12551" max="12800" width="8.85546875" style="240"/>
    <col min="12801" max="12801" width="4.7109375" style="240" customWidth="1"/>
    <col min="12802" max="12802" width="6.7109375" style="240" bestFit="1" customWidth="1"/>
    <col min="12803" max="12806" width="16.7109375" style="240" customWidth="1"/>
    <col min="12807" max="13056" width="8.85546875" style="240"/>
    <col min="13057" max="13057" width="4.7109375" style="240" customWidth="1"/>
    <col min="13058" max="13058" width="6.7109375" style="240" bestFit="1" customWidth="1"/>
    <col min="13059" max="13062" width="16.7109375" style="240" customWidth="1"/>
    <col min="13063" max="13312" width="8.85546875" style="240"/>
    <col min="13313" max="13313" width="4.7109375" style="240" customWidth="1"/>
    <col min="13314" max="13314" width="6.7109375" style="240" bestFit="1" customWidth="1"/>
    <col min="13315" max="13318" width="16.7109375" style="240" customWidth="1"/>
    <col min="13319" max="13568" width="8.85546875" style="240"/>
    <col min="13569" max="13569" width="4.7109375" style="240" customWidth="1"/>
    <col min="13570" max="13570" width="6.7109375" style="240" bestFit="1" customWidth="1"/>
    <col min="13571" max="13574" width="16.7109375" style="240" customWidth="1"/>
    <col min="13575" max="13824" width="8.85546875" style="240"/>
    <col min="13825" max="13825" width="4.7109375" style="240" customWidth="1"/>
    <col min="13826" max="13826" width="6.7109375" style="240" bestFit="1" customWidth="1"/>
    <col min="13827" max="13830" width="16.7109375" style="240" customWidth="1"/>
    <col min="13831" max="14080" width="8.85546875" style="240"/>
    <col min="14081" max="14081" width="4.7109375" style="240" customWidth="1"/>
    <col min="14082" max="14082" width="6.7109375" style="240" bestFit="1" customWidth="1"/>
    <col min="14083" max="14086" width="16.7109375" style="240" customWidth="1"/>
    <col min="14087" max="14336" width="8.85546875" style="240"/>
    <col min="14337" max="14337" width="4.7109375" style="240" customWidth="1"/>
    <col min="14338" max="14338" width="6.7109375" style="240" bestFit="1" customWidth="1"/>
    <col min="14339" max="14342" width="16.7109375" style="240" customWidth="1"/>
    <col min="14343" max="14592" width="8.85546875" style="240"/>
    <col min="14593" max="14593" width="4.7109375" style="240" customWidth="1"/>
    <col min="14594" max="14594" width="6.7109375" style="240" bestFit="1" customWidth="1"/>
    <col min="14595" max="14598" width="16.7109375" style="240" customWidth="1"/>
    <col min="14599" max="14848" width="8.85546875" style="240"/>
    <col min="14849" max="14849" width="4.7109375" style="240" customWidth="1"/>
    <col min="14850" max="14850" width="6.7109375" style="240" bestFit="1" customWidth="1"/>
    <col min="14851" max="14854" width="16.7109375" style="240" customWidth="1"/>
    <col min="14855" max="15104" width="8.85546875" style="240"/>
    <col min="15105" max="15105" width="4.7109375" style="240" customWidth="1"/>
    <col min="15106" max="15106" width="6.7109375" style="240" bestFit="1" customWidth="1"/>
    <col min="15107" max="15110" width="16.7109375" style="240" customWidth="1"/>
    <col min="15111" max="15360" width="8.85546875" style="240"/>
    <col min="15361" max="15361" width="4.7109375" style="240" customWidth="1"/>
    <col min="15362" max="15362" width="6.7109375" style="240" bestFit="1" customWidth="1"/>
    <col min="15363" max="15366" width="16.7109375" style="240" customWidth="1"/>
    <col min="15367" max="15616" width="8.85546875" style="240"/>
    <col min="15617" max="15617" width="4.7109375" style="240" customWidth="1"/>
    <col min="15618" max="15618" width="6.7109375" style="240" bestFit="1" customWidth="1"/>
    <col min="15619" max="15622" width="16.7109375" style="240" customWidth="1"/>
    <col min="15623" max="15872" width="8.85546875" style="240"/>
    <col min="15873" max="15873" width="4.7109375" style="240" customWidth="1"/>
    <col min="15874" max="15874" width="6.7109375" style="240" bestFit="1" customWidth="1"/>
    <col min="15875" max="15878" width="16.7109375" style="240" customWidth="1"/>
    <col min="15879" max="16128" width="8.85546875" style="240"/>
    <col min="16129" max="16129" width="4.7109375" style="240" customWidth="1"/>
    <col min="16130" max="16130" width="6.7109375" style="240" bestFit="1" customWidth="1"/>
    <col min="16131" max="16134" width="16.7109375" style="240" customWidth="1"/>
    <col min="16135" max="16384" width="8.85546875" style="240"/>
  </cols>
  <sheetData>
    <row r="1" spans="1:6" ht="18" x14ac:dyDescent="0.25">
      <c r="A1" s="652" t="s">
        <v>56</v>
      </c>
      <c r="B1" s="652"/>
      <c r="C1" s="652"/>
      <c r="D1" s="652"/>
      <c r="E1" s="239"/>
    </row>
    <row r="2" spans="1:6" ht="18.75" thickBot="1" x14ac:dyDescent="0.3">
      <c r="A2" s="239"/>
      <c r="B2" s="239"/>
      <c r="C2" s="239"/>
      <c r="D2" s="239"/>
      <c r="E2" s="239"/>
    </row>
    <row r="3" spans="1:6" ht="18.75" thickBot="1" x14ac:dyDescent="0.3">
      <c r="A3" s="653" t="s">
        <v>174</v>
      </c>
      <c r="B3" s="654"/>
      <c r="C3" s="654"/>
      <c r="D3" s="654"/>
      <c r="E3" s="655"/>
      <c r="F3" s="656"/>
    </row>
    <row r="4" spans="1:6" hidden="1" x14ac:dyDescent="0.25">
      <c r="A4" s="657" t="s">
        <v>35</v>
      </c>
      <c r="B4" s="659" t="s">
        <v>44</v>
      </c>
      <c r="C4" s="661" t="s">
        <v>41</v>
      </c>
      <c r="D4" s="661"/>
      <c r="E4" s="662"/>
      <c r="F4" s="663"/>
    </row>
    <row r="5" spans="1:6" ht="25.5" x14ac:dyDescent="0.25">
      <c r="A5" s="657"/>
      <c r="B5" s="659"/>
      <c r="C5" s="241" t="s">
        <v>54</v>
      </c>
      <c r="D5" s="241" t="s">
        <v>53</v>
      </c>
      <c r="E5" s="242" t="s">
        <v>84</v>
      </c>
      <c r="F5" s="243" t="s">
        <v>175</v>
      </c>
    </row>
    <row r="6" spans="1:6" s="246" customFormat="1" x14ac:dyDescent="0.25">
      <c r="A6" s="658"/>
      <c r="B6" s="660"/>
      <c r="C6" s="473" t="s">
        <v>21</v>
      </c>
      <c r="D6" s="473" t="s">
        <v>21</v>
      </c>
      <c r="E6" s="244" t="s">
        <v>21</v>
      </c>
      <c r="F6" s="245" t="s">
        <v>21</v>
      </c>
    </row>
    <row r="7" spans="1:6" s="246" customFormat="1" x14ac:dyDescent="0.25">
      <c r="A7" s="247">
        <v>1</v>
      </c>
      <c r="B7" s="248" t="s">
        <v>32</v>
      </c>
      <c r="C7" s="249"/>
      <c r="D7" s="249"/>
      <c r="E7" s="250"/>
      <c r="F7" s="251">
        <f>SUM(C7:E7)</f>
        <v>0</v>
      </c>
    </row>
    <row r="8" spans="1:6" s="246" customFormat="1" x14ac:dyDescent="0.25">
      <c r="A8" s="247">
        <v>2</v>
      </c>
      <c r="B8" s="248" t="s">
        <v>73</v>
      </c>
      <c r="C8" s="249"/>
      <c r="D8" s="249"/>
      <c r="E8" s="250"/>
      <c r="F8" s="251">
        <f t="shared" ref="F8:F9" si="0">SUM(C8:E8)</f>
        <v>0</v>
      </c>
    </row>
    <row r="9" spans="1:6" s="246" customFormat="1" x14ac:dyDescent="0.25">
      <c r="A9" s="247">
        <v>3</v>
      </c>
      <c r="B9" s="248" t="s">
        <v>74</v>
      </c>
      <c r="C9" s="475"/>
      <c r="D9" s="475"/>
      <c r="E9" s="476"/>
      <c r="F9" s="251">
        <f t="shared" si="0"/>
        <v>0</v>
      </c>
    </row>
    <row r="10" spans="1:6" ht="15.75" thickBot="1" x14ac:dyDescent="0.3">
      <c r="A10" s="650" t="s">
        <v>5</v>
      </c>
      <c r="B10" s="651"/>
      <c r="C10" s="252">
        <f>SUM(C7:C9)</f>
        <v>0</v>
      </c>
      <c r="D10" s="252">
        <f>SUM(D7:D9)</f>
        <v>0</v>
      </c>
      <c r="E10" s="252">
        <f>SUM(E7:E9)</f>
        <v>0</v>
      </c>
      <c r="F10" s="253">
        <f>SUM(F7:F9)</f>
        <v>0</v>
      </c>
    </row>
    <row r="12" spans="1:6" x14ac:dyDescent="0.25">
      <c r="A12" s="254" t="s">
        <v>176</v>
      </c>
    </row>
    <row r="13" spans="1:6" x14ac:dyDescent="0.25">
      <c r="A13" s="254" t="s">
        <v>177</v>
      </c>
    </row>
    <row r="15" spans="1:6" x14ac:dyDescent="0.25">
      <c r="A15" s="256"/>
    </row>
    <row r="16" spans="1:6" x14ac:dyDescent="0.25">
      <c r="A16" s="256"/>
    </row>
    <row r="18" spans="1:1" x14ac:dyDescent="0.25">
      <c r="A18" s="256"/>
    </row>
  </sheetData>
  <mergeCells count="6">
    <mergeCell ref="A10:B10"/>
    <mergeCell ref="A1:D1"/>
    <mergeCell ref="A3:F3"/>
    <mergeCell ref="A4:A6"/>
    <mergeCell ref="B4:B6"/>
    <mergeCell ref="C4:F4"/>
  </mergeCells>
  <conditionalFormatting sqref="C7:F10">
    <cfRule type="cellIs" dxfId="0" priority="1" operator="less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1"/>
  <sheetViews>
    <sheetView workbookViewId="0">
      <selection activeCell="D34" sqref="D34"/>
    </sheetView>
  </sheetViews>
  <sheetFormatPr defaultColWidth="8.85546875" defaultRowHeight="15" x14ac:dyDescent="0.25"/>
  <cols>
    <col min="1" max="1" width="8.85546875" style="419"/>
    <col min="2" max="2" width="9.140625" style="419" customWidth="1"/>
    <col min="3" max="3" width="45.42578125" style="419" customWidth="1"/>
    <col min="4" max="4" width="40.28515625" style="419" customWidth="1"/>
    <col min="5" max="5" width="22" style="419" customWidth="1"/>
  </cols>
  <sheetData>
    <row r="2" spans="1:5" ht="18" x14ac:dyDescent="0.25">
      <c r="A2" s="418" t="s">
        <v>261</v>
      </c>
    </row>
    <row r="3" spans="1:5" x14ac:dyDescent="0.25">
      <c r="A3" s="420"/>
    </row>
    <row r="4" spans="1:5" x14ac:dyDescent="0.25">
      <c r="A4" s="421" t="s">
        <v>255</v>
      </c>
      <c r="B4" s="419" t="s">
        <v>44</v>
      </c>
      <c r="C4" s="419" t="s">
        <v>262</v>
      </c>
      <c r="D4" s="419" t="s">
        <v>263</v>
      </c>
      <c r="E4" s="419" t="s">
        <v>264</v>
      </c>
    </row>
    <row r="5" spans="1:5" x14ac:dyDescent="0.25">
      <c r="A5" s="468">
        <f>'Referenčne količine'!A3</f>
        <v>1</v>
      </c>
      <c r="B5" s="469" t="str">
        <f>'Referenčne količine'!B3</f>
        <v>OB01</v>
      </c>
      <c r="C5" s="469" t="str">
        <f>'Referenčne količine'!C3</f>
        <v>Osnovna šola Kobilje</v>
      </c>
      <c r="D5" s="469" t="str">
        <f>'Referenčne količine'!D3</f>
        <v>Kobilje 33A</v>
      </c>
      <c r="E5" s="469"/>
    </row>
    <row r="6" spans="1:5" x14ac:dyDescent="0.25">
      <c r="A6" s="468">
        <f>'Referenčne količine'!A4</f>
        <v>2</v>
      </c>
      <c r="B6" s="469" t="str">
        <f>'Referenčne količine'!B4</f>
        <v>OB02</v>
      </c>
      <c r="C6" s="469" t="str">
        <f>'Referenčne količine'!C4</f>
        <v>Športna dvorana Radenci</v>
      </c>
      <c r="D6" s="469" t="str">
        <f>'Referenčne količine'!D4</f>
        <v>Radgonska cesta 10</v>
      </c>
      <c r="E6" s="469"/>
    </row>
    <row r="7" spans="1:5" x14ac:dyDescent="0.25">
      <c r="A7" s="468">
        <f>'Referenčne količine'!A5</f>
        <v>3</v>
      </c>
      <c r="B7" s="470" t="s">
        <v>358</v>
      </c>
      <c r="C7" s="469" t="str">
        <f>'Referenčne količine'!C5</f>
        <v>Osnovna šola in vzgojni dom Veržej</v>
      </c>
      <c r="D7" s="469" t="str">
        <f>'Referenčne količine'!D5</f>
        <v>Puščenjakova ulica 7</v>
      </c>
      <c r="E7" s="470"/>
    </row>
    <row r="8" spans="1:5" x14ac:dyDescent="0.25">
      <c r="A8" s="468"/>
      <c r="B8" s="470"/>
      <c r="C8" s="469"/>
      <c r="D8" s="469"/>
      <c r="E8" s="470"/>
    </row>
    <row r="9" spans="1:5" x14ac:dyDescent="0.25">
      <c r="A9" s="468"/>
      <c r="B9" s="470"/>
      <c r="C9" s="469"/>
      <c r="D9" s="469"/>
      <c r="E9" s="470"/>
    </row>
    <row r="10" spans="1:5" x14ac:dyDescent="0.25">
      <c r="A10" s="421"/>
    </row>
    <row r="11" spans="1:5" x14ac:dyDescent="0.25">
      <c r="B11" s="419" t="s">
        <v>265</v>
      </c>
    </row>
    <row r="12" spans="1:5" x14ac:dyDescent="0.25">
      <c r="B12" s="422" t="s">
        <v>266</v>
      </c>
    </row>
    <row r="13" spans="1:5" x14ac:dyDescent="0.25">
      <c r="B13" s="422"/>
    </row>
    <row r="14" spans="1:5" x14ac:dyDescent="0.25">
      <c r="B14" s="508"/>
      <c r="C14" s="508"/>
      <c r="D14" s="508"/>
      <c r="E14" s="508"/>
    </row>
    <row r="15" spans="1:5" x14ac:dyDescent="0.25">
      <c r="A15" s="419" t="s">
        <v>268</v>
      </c>
    </row>
    <row r="16" spans="1:5" x14ac:dyDescent="0.25">
      <c r="A16" s="480" t="s">
        <v>255</v>
      </c>
      <c r="B16" s="481" t="s">
        <v>44</v>
      </c>
      <c r="C16" s="481" t="s">
        <v>262</v>
      </c>
      <c r="D16" s="481" t="s">
        <v>267</v>
      </c>
    </row>
    <row r="17" spans="1:4" x14ac:dyDescent="0.25">
      <c r="A17" s="477">
        <v>1</v>
      </c>
      <c r="B17" s="478" t="s">
        <v>192</v>
      </c>
      <c r="C17" s="478" t="str">
        <f>'Referenčne količine'!C3</f>
        <v>Osnovna šola Kobilje</v>
      </c>
      <c r="D17" s="482"/>
    </row>
    <row r="18" spans="1:4" x14ac:dyDescent="0.25">
      <c r="A18" s="468">
        <v>2</v>
      </c>
      <c r="B18" s="469" t="s">
        <v>191</v>
      </c>
      <c r="C18" s="469" t="str">
        <f>'Referenčne količine'!C4</f>
        <v>Športna dvorana Radenci</v>
      </c>
      <c r="D18" s="483"/>
    </row>
    <row r="19" spans="1:4" x14ac:dyDescent="0.25">
      <c r="A19" s="477">
        <f>'Referenčne količine'!A17</f>
        <v>0</v>
      </c>
      <c r="B19" s="479" t="s">
        <v>358</v>
      </c>
      <c r="C19" s="478" t="str">
        <f>'Referenčne količine'!C5</f>
        <v>Osnovna šola in vzgojni dom Veržej</v>
      </c>
      <c r="D19" s="478"/>
    </row>
    <row r="20" spans="1:4" x14ac:dyDescent="0.25">
      <c r="A20" s="468"/>
      <c r="B20" s="470"/>
      <c r="C20" s="469"/>
      <c r="D20" s="469"/>
    </row>
    <row r="21" spans="1:4" x14ac:dyDescent="0.25">
      <c r="A21" s="477"/>
      <c r="B21" s="479"/>
      <c r="C21" s="478"/>
      <c r="D21" s="478"/>
    </row>
  </sheetData>
  <mergeCells count="1">
    <mergeCell ref="B14:E14"/>
  </mergeCells>
  <pageMargins left="0.7" right="0.7" top="0.75" bottom="0.75" header="0.3" footer="0.3"/>
  <pageSetup paperSize="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O45"/>
  <sheetViews>
    <sheetView zoomScale="85" zoomScaleNormal="85" zoomScaleSheetLayoutView="100" workbookViewId="0">
      <selection activeCell="AF36" sqref="AF36"/>
    </sheetView>
  </sheetViews>
  <sheetFormatPr defaultColWidth="17.42578125" defaultRowHeight="15" x14ac:dyDescent="0.25"/>
  <cols>
    <col min="1" max="1" width="9.7109375" bestFit="1" customWidth="1"/>
    <col min="2" max="2" width="32" customWidth="1"/>
    <col min="3" max="3" width="32.28515625" customWidth="1"/>
    <col min="4" max="4" width="33" bestFit="1" customWidth="1"/>
    <col min="5" max="5" width="16.5703125" bestFit="1" customWidth="1"/>
    <col min="6" max="6" width="15.7109375" customWidth="1"/>
    <col min="7" max="7" width="13.42578125" bestFit="1" customWidth="1"/>
    <col min="8" max="8" width="15.42578125" customWidth="1"/>
    <col min="9" max="9" width="16.42578125" customWidth="1"/>
    <col min="10" max="10" width="20.28515625" customWidth="1"/>
    <col min="11" max="11" width="14.42578125" customWidth="1"/>
    <col min="12" max="12" width="14.140625" customWidth="1"/>
    <col min="13" max="13" width="14.42578125" customWidth="1"/>
    <col min="14" max="14" width="13" customWidth="1"/>
    <col min="15" max="15" width="14.42578125" customWidth="1"/>
    <col min="16" max="16" width="13.28515625" customWidth="1"/>
    <col min="17" max="17" width="14.85546875" customWidth="1"/>
    <col min="18" max="18" width="5.42578125" customWidth="1"/>
    <col min="19" max="20" width="13" customWidth="1"/>
    <col min="21" max="21" width="14.42578125" bestFit="1" customWidth="1"/>
    <col min="22" max="28" width="13" customWidth="1"/>
    <col min="29" max="29" width="15.42578125" bestFit="1" customWidth="1"/>
    <col min="30" max="30" width="13.85546875" customWidth="1"/>
    <col min="31" max="31" width="14.42578125" bestFit="1" customWidth="1"/>
    <col min="32" max="32" width="16.7109375" bestFit="1" customWidth="1"/>
    <col min="33" max="33" width="16" bestFit="1" customWidth="1"/>
    <col min="34" max="36" width="16.140625" customWidth="1"/>
    <col min="37" max="37" width="16.28515625" customWidth="1"/>
    <col min="38" max="39" width="17.85546875" customWidth="1"/>
  </cols>
  <sheetData>
    <row r="1" spans="1:41" x14ac:dyDescent="0.25">
      <c r="A1" s="509" t="s">
        <v>58</v>
      </c>
      <c r="B1" s="510"/>
      <c r="C1" s="510"/>
      <c r="D1" s="510"/>
      <c r="E1" s="510"/>
      <c r="F1" s="510"/>
      <c r="G1" s="510"/>
      <c r="H1" s="510"/>
      <c r="I1" s="510"/>
      <c r="J1" s="510"/>
      <c r="K1" s="510"/>
      <c r="L1" s="511"/>
      <c r="M1" s="44"/>
      <c r="N1" s="44"/>
      <c r="O1" s="44"/>
      <c r="P1" s="515" t="s">
        <v>305</v>
      </c>
      <c r="Q1" s="516"/>
      <c r="R1" s="516"/>
      <c r="S1" s="516"/>
      <c r="T1" s="516"/>
      <c r="U1" s="516"/>
      <c r="V1" s="516"/>
      <c r="W1" s="516"/>
      <c r="X1" s="516"/>
      <c r="Y1" s="516"/>
      <c r="Z1" s="516"/>
      <c r="AA1" s="516"/>
      <c r="AB1" s="517"/>
      <c r="AC1" s="512" t="s">
        <v>77</v>
      </c>
      <c r="AD1" s="513"/>
      <c r="AE1" s="513"/>
      <c r="AF1" s="513"/>
      <c r="AG1" s="513"/>
      <c r="AH1" s="513"/>
      <c r="AI1" s="513"/>
      <c r="AJ1" s="514"/>
      <c r="AK1" s="380" t="s">
        <v>59</v>
      </c>
      <c r="AL1" s="381"/>
      <c r="AM1" s="381"/>
      <c r="AN1" s="377"/>
    </row>
    <row r="2" spans="1:41" ht="81" customHeight="1" x14ac:dyDescent="0.25">
      <c r="A2" s="45" t="s">
        <v>255</v>
      </c>
      <c r="B2" s="45" t="s">
        <v>44</v>
      </c>
      <c r="C2" s="45" t="s">
        <v>60</v>
      </c>
      <c r="D2" s="45" t="s">
        <v>61</v>
      </c>
      <c r="E2" s="45" t="s">
        <v>193</v>
      </c>
      <c r="F2" s="45" t="s">
        <v>62</v>
      </c>
      <c r="G2" s="45" t="s">
        <v>63</v>
      </c>
      <c r="H2" s="45" t="s">
        <v>64</v>
      </c>
      <c r="I2" s="45" t="s">
        <v>65</v>
      </c>
      <c r="J2" s="45" t="s">
        <v>66</v>
      </c>
      <c r="K2" s="45" t="s">
        <v>67</v>
      </c>
      <c r="L2" s="45" t="s">
        <v>68</v>
      </c>
      <c r="M2" s="45" t="s">
        <v>94</v>
      </c>
      <c r="N2" s="45" t="s">
        <v>303</v>
      </c>
      <c r="O2" s="45" t="s">
        <v>195</v>
      </c>
      <c r="P2" s="45" t="s">
        <v>69</v>
      </c>
      <c r="Q2" s="45" t="s">
        <v>256</v>
      </c>
      <c r="R2" s="45" t="s">
        <v>70</v>
      </c>
      <c r="S2" s="45" t="s">
        <v>76</v>
      </c>
      <c r="T2" s="45" t="s">
        <v>322</v>
      </c>
      <c r="U2" s="45" t="s">
        <v>119</v>
      </c>
      <c r="V2" s="45" t="s">
        <v>304</v>
      </c>
      <c r="W2" s="45" t="s">
        <v>194</v>
      </c>
      <c r="X2" s="45" t="s">
        <v>183</v>
      </c>
      <c r="Y2" s="45" t="s">
        <v>323</v>
      </c>
      <c r="Z2" s="45" t="s">
        <v>306</v>
      </c>
      <c r="AA2" s="45" t="s">
        <v>307</v>
      </c>
      <c r="AB2" s="45"/>
      <c r="AC2" s="45" t="s">
        <v>197</v>
      </c>
      <c r="AD2" s="45" t="s">
        <v>203</v>
      </c>
      <c r="AE2" s="45" t="s">
        <v>198</v>
      </c>
      <c r="AF2" s="45" t="s">
        <v>199</v>
      </c>
      <c r="AG2" s="45" t="s">
        <v>196</v>
      </c>
      <c r="AH2" s="45" t="s">
        <v>202</v>
      </c>
      <c r="AI2" s="45" t="s">
        <v>251</v>
      </c>
      <c r="AJ2" s="45" t="s">
        <v>252</v>
      </c>
      <c r="AK2" s="45" t="s">
        <v>201</v>
      </c>
      <c r="AL2" s="45" t="s">
        <v>343</v>
      </c>
      <c r="AM2" s="45" t="s">
        <v>200</v>
      </c>
      <c r="AN2" s="378"/>
    </row>
    <row r="3" spans="1:41" x14ac:dyDescent="0.25">
      <c r="A3" s="46">
        <v>1</v>
      </c>
      <c r="B3" s="46" t="s">
        <v>192</v>
      </c>
      <c r="C3" s="47" t="s">
        <v>362</v>
      </c>
      <c r="D3" s="48" t="s">
        <v>363</v>
      </c>
      <c r="E3" s="48" t="s">
        <v>368</v>
      </c>
      <c r="F3" s="53"/>
      <c r="G3" s="53">
        <v>1388.4</v>
      </c>
      <c r="H3" s="49"/>
      <c r="I3" s="50">
        <v>3</v>
      </c>
      <c r="J3" s="64"/>
      <c r="K3" s="64"/>
      <c r="L3" s="50"/>
      <c r="M3" s="65"/>
      <c r="N3" s="372">
        <f>X3/G3</f>
        <v>104.91241717084415</v>
      </c>
      <c r="O3" s="373">
        <f>AG3/G3</f>
        <v>22.351627772976087</v>
      </c>
      <c r="P3" s="51" t="s">
        <v>370</v>
      </c>
      <c r="Q3" s="54">
        <f>U3/S3</f>
        <v>20146.666666666668</v>
      </c>
      <c r="R3" s="51" t="s">
        <v>376</v>
      </c>
      <c r="S3" s="52">
        <v>7.23</v>
      </c>
      <c r="T3" s="52">
        <f>U3*V3/1000</f>
        <v>21216.952128160003</v>
      </c>
      <c r="U3" s="497">
        <f>145.6604*1000</f>
        <v>145660.40000000002</v>
      </c>
      <c r="V3" s="51">
        <v>145.66040000000001</v>
      </c>
      <c r="W3" s="54">
        <v>0</v>
      </c>
      <c r="X3" s="54">
        <f>U3+W3</f>
        <v>145660.40000000002</v>
      </c>
      <c r="Y3" s="51">
        <f>V3*X3/1000</f>
        <v>21216.952128160003</v>
      </c>
      <c r="Z3" s="51">
        <f>X3-AA3</f>
        <v>145660.40000000002</v>
      </c>
      <c r="AA3" s="51"/>
      <c r="AB3" s="51">
        <v>0</v>
      </c>
      <c r="AC3" s="374">
        <f>31.033*1000</f>
        <v>31033</v>
      </c>
      <c r="AD3" s="375">
        <f>AC3*AE3</f>
        <v>4522.0670464149071</v>
      </c>
      <c r="AE3" s="403">
        <f>145.718011356134/1000</f>
        <v>0.14571801135613402</v>
      </c>
      <c r="AF3" s="376">
        <v>0</v>
      </c>
      <c r="AG3" s="376">
        <f>AC3+AF3</f>
        <v>31033</v>
      </c>
      <c r="AH3" s="375">
        <f>AE3*AG3</f>
        <v>4522.0670464149071</v>
      </c>
      <c r="AI3" s="376"/>
      <c r="AJ3" s="376"/>
      <c r="AK3" s="55">
        <f>Y3+AH3</f>
        <v>25739.019174574911</v>
      </c>
      <c r="AL3" s="66">
        <f>1.75*G3</f>
        <v>2429.7000000000003</v>
      </c>
      <c r="AM3" s="66">
        <f>AK3+AL3</f>
        <v>28168.719174574911</v>
      </c>
      <c r="AN3" s="379"/>
      <c r="AO3" s="257"/>
    </row>
    <row r="4" spans="1:41" x14ac:dyDescent="0.25">
      <c r="A4" s="46">
        <v>2</v>
      </c>
      <c r="B4" s="46" t="s">
        <v>191</v>
      </c>
      <c r="C4" s="47" t="s">
        <v>364</v>
      </c>
      <c r="D4" s="48" t="s">
        <v>365</v>
      </c>
      <c r="E4" s="48" t="s">
        <v>369</v>
      </c>
      <c r="F4" s="53"/>
      <c r="G4" s="53">
        <v>1471.2</v>
      </c>
      <c r="H4" s="49"/>
      <c r="I4" s="65">
        <v>3</v>
      </c>
      <c r="J4" s="64"/>
      <c r="K4" s="64"/>
      <c r="L4" s="64"/>
      <c r="M4" s="65"/>
      <c r="N4" s="372">
        <f t="shared" ref="N4:N5" si="0">X4/G4</f>
        <v>97.704594888526373</v>
      </c>
      <c r="O4" s="373">
        <f t="shared" ref="O4:O5" si="1">AG4/G4</f>
        <v>32.564472689753188</v>
      </c>
      <c r="P4" s="51" t="s">
        <v>371</v>
      </c>
      <c r="Q4" s="54">
        <f t="shared" ref="Q4:Q5" si="2">U4/S4</f>
        <v>13376.419132700539</v>
      </c>
      <c r="R4" s="51" t="s">
        <v>377</v>
      </c>
      <c r="S4" s="52">
        <v>10.746</v>
      </c>
      <c r="T4" s="52">
        <f t="shared" ref="T4:T5" si="3">U4*V4/1000</f>
        <v>7271.3138263879991</v>
      </c>
      <c r="U4" s="497">
        <v>143743</v>
      </c>
      <c r="V4" s="51">
        <v>50.585515999999998</v>
      </c>
      <c r="W4" s="54">
        <v>0</v>
      </c>
      <c r="X4" s="54">
        <f t="shared" ref="X4:X5" si="4">U4+W4</f>
        <v>143743</v>
      </c>
      <c r="Y4" s="51">
        <f t="shared" ref="Y4:Y5" si="5">V4*X4/1000</f>
        <v>7271.3138263879991</v>
      </c>
      <c r="Z4" s="51">
        <f t="shared" ref="Z4:Z5" si="6">X4-AA4</f>
        <v>116319.7</v>
      </c>
      <c r="AA4" s="51">
        <v>27423.3</v>
      </c>
      <c r="AB4" s="51">
        <v>0</v>
      </c>
      <c r="AC4" s="498">
        <f>47.9088522211649*1000</f>
        <v>47908.852221164896</v>
      </c>
      <c r="AD4" s="375">
        <f t="shared" ref="AD4:AD5" si="7">AC4*AE4</f>
        <v>5324.6948680776295</v>
      </c>
      <c r="AE4" s="403">
        <f>111.142192334245/1000</f>
        <v>0.11114219233424499</v>
      </c>
      <c r="AF4" s="376">
        <v>0</v>
      </c>
      <c r="AG4" s="376">
        <f t="shared" ref="AG4:AG5" si="8">AC4+AF4</f>
        <v>47908.852221164896</v>
      </c>
      <c r="AH4" s="375">
        <f t="shared" ref="AH4:AH5" si="9">AE4*AG4</f>
        <v>5324.6948680776295</v>
      </c>
      <c r="AI4" s="376"/>
      <c r="AJ4" s="376"/>
      <c r="AK4" s="55">
        <f t="shared" ref="AK4:AK5" si="10">Y4+AH4</f>
        <v>12596.008694465629</v>
      </c>
      <c r="AL4" s="66">
        <f t="shared" ref="AL4:AL5" si="11">1.75*G4</f>
        <v>2574.6</v>
      </c>
      <c r="AM4" s="66">
        <f t="shared" ref="AM4:AM5" si="12">AK4+AL4</f>
        <v>15170.608694465629</v>
      </c>
      <c r="AN4" s="379"/>
      <c r="AO4" s="257"/>
    </row>
    <row r="5" spans="1:41" x14ac:dyDescent="0.25">
      <c r="A5" s="46">
        <v>3</v>
      </c>
      <c r="B5" s="46" t="s">
        <v>358</v>
      </c>
      <c r="C5" s="47" t="s">
        <v>366</v>
      </c>
      <c r="D5" s="48" t="s">
        <v>367</v>
      </c>
      <c r="E5" s="48" t="s">
        <v>368</v>
      </c>
      <c r="F5" s="53"/>
      <c r="G5" s="53">
        <v>3334.5</v>
      </c>
      <c r="H5" s="49"/>
      <c r="I5" s="65">
        <v>3</v>
      </c>
      <c r="J5" s="64"/>
      <c r="K5" s="64"/>
      <c r="L5" s="64"/>
      <c r="M5" s="65"/>
      <c r="N5" s="372">
        <f t="shared" si="0"/>
        <v>132.76853101414514</v>
      </c>
      <c r="O5" s="373">
        <f t="shared" si="1"/>
        <v>28.196831109111802</v>
      </c>
      <c r="P5" s="51" t="s">
        <v>372</v>
      </c>
      <c r="Q5" s="54">
        <f t="shared" si="2"/>
        <v>44271.666666666701</v>
      </c>
      <c r="R5" s="51" t="s">
        <v>376</v>
      </c>
      <c r="S5" s="52">
        <v>10</v>
      </c>
      <c r="T5" s="52">
        <f t="shared" si="3"/>
        <v>33385.93595190483</v>
      </c>
      <c r="U5" s="54">
        <f>442.716666666667*1000</f>
        <v>442716.66666666698</v>
      </c>
      <c r="V5" s="51">
        <v>75.411518168666504</v>
      </c>
      <c r="W5" s="54">
        <v>0</v>
      </c>
      <c r="X5" s="54">
        <f t="shared" si="4"/>
        <v>442716.66666666698</v>
      </c>
      <c r="Y5" s="51">
        <f t="shared" si="5"/>
        <v>33385.93595190483</v>
      </c>
      <c r="Z5" s="51">
        <f t="shared" si="6"/>
        <v>442716.66666666698</v>
      </c>
      <c r="AA5" s="51"/>
      <c r="AB5" s="51">
        <v>0</v>
      </c>
      <c r="AC5" s="374">
        <f>94.0223333333333*1000</f>
        <v>94022.333333333299</v>
      </c>
      <c r="AD5" s="375">
        <f t="shared" si="7"/>
        <v>13036.678005035661</v>
      </c>
      <c r="AE5" s="403">
        <f>0.138655121</f>
        <v>0.13865512099999999</v>
      </c>
      <c r="AF5" s="376">
        <v>0</v>
      </c>
      <c r="AG5" s="376">
        <f t="shared" si="8"/>
        <v>94022.333333333299</v>
      </c>
      <c r="AH5" s="375">
        <f t="shared" si="9"/>
        <v>13036.678005035661</v>
      </c>
      <c r="AI5" s="376"/>
      <c r="AJ5" s="376"/>
      <c r="AK5" s="55">
        <f t="shared" si="10"/>
        <v>46422.613956940491</v>
      </c>
      <c r="AL5" s="66">
        <f t="shared" si="11"/>
        <v>5835.375</v>
      </c>
      <c r="AM5" s="66">
        <f t="shared" si="12"/>
        <v>52257.988956940491</v>
      </c>
      <c r="AN5" s="379"/>
      <c r="AO5" s="257"/>
    </row>
    <row r="6" spans="1:41" x14ac:dyDescent="0.25">
      <c r="A6" s="46"/>
      <c r="B6" s="46"/>
      <c r="C6" s="47"/>
      <c r="D6" s="48"/>
      <c r="E6" s="48"/>
      <c r="F6" s="53"/>
      <c r="G6" s="53"/>
      <c r="H6" s="49"/>
      <c r="I6" s="65"/>
      <c r="J6" s="64"/>
      <c r="K6" s="64"/>
      <c r="L6" s="64"/>
      <c r="M6" s="65"/>
      <c r="N6" s="372"/>
      <c r="O6" s="373"/>
      <c r="P6" s="51"/>
      <c r="Q6" s="54"/>
      <c r="R6" s="51"/>
      <c r="S6" s="52"/>
      <c r="T6" s="52"/>
      <c r="U6" s="54"/>
      <c r="V6" s="51"/>
      <c r="W6" s="54"/>
      <c r="X6" s="54"/>
      <c r="Y6" s="51"/>
      <c r="Z6" s="51"/>
      <c r="AA6" s="51"/>
      <c r="AB6" s="51"/>
      <c r="AC6" s="374"/>
      <c r="AD6" s="375"/>
      <c r="AE6" s="403"/>
      <c r="AF6" s="376"/>
      <c r="AG6" s="376"/>
      <c r="AH6" s="375"/>
      <c r="AI6" s="376"/>
      <c r="AJ6" s="376"/>
      <c r="AK6" s="55"/>
      <c r="AL6" s="66"/>
      <c r="AM6" s="66"/>
      <c r="AN6" s="379"/>
      <c r="AO6" s="257"/>
    </row>
    <row r="7" spans="1:41" x14ac:dyDescent="0.25">
      <c r="A7" s="46"/>
      <c r="B7" s="46"/>
      <c r="C7" s="47"/>
      <c r="D7" s="48"/>
      <c r="E7" s="48"/>
      <c r="F7" s="53"/>
      <c r="G7" s="53"/>
      <c r="H7" s="49"/>
      <c r="I7" s="65"/>
      <c r="J7" s="64"/>
      <c r="K7" s="64"/>
      <c r="L7" s="64"/>
      <c r="M7" s="65"/>
      <c r="N7" s="372"/>
      <c r="O7" s="373"/>
      <c r="P7" s="51"/>
      <c r="Q7" s="54"/>
      <c r="R7" s="51"/>
      <c r="S7" s="52"/>
      <c r="T7" s="52"/>
      <c r="U7" s="54"/>
      <c r="V7" s="51"/>
      <c r="W7" s="54"/>
      <c r="X7" s="54"/>
      <c r="Y7" s="51"/>
      <c r="Z7" s="51"/>
      <c r="AA7" s="51"/>
      <c r="AB7" s="51"/>
      <c r="AC7" s="374"/>
      <c r="AD7" s="375"/>
      <c r="AE7" s="403"/>
      <c r="AF7" s="376"/>
      <c r="AG7" s="376"/>
      <c r="AH7" s="375"/>
      <c r="AI7" s="376"/>
      <c r="AJ7" s="376"/>
      <c r="AK7" s="55"/>
      <c r="AL7" s="66"/>
      <c r="AM7" s="66"/>
      <c r="AN7" s="379"/>
      <c r="AO7" s="257"/>
    </row>
    <row r="8" spans="1:41" s="410" customFormat="1" x14ac:dyDescent="0.25">
      <c r="A8" s="409"/>
      <c r="B8" s="409"/>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row>
    <row r="9" spans="1:41" x14ac:dyDescent="0.25">
      <c r="A9" t="s">
        <v>85</v>
      </c>
      <c r="B9" s="67" t="s">
        <v>179</v>
      </c>
      <c r="T9" s="453"/>
      <c r="U9" s="454"/>
      <c r="V9" s="454"/>
      <c r="W9" s="454"/>
      <c r="X9" s="454"/>
      <c r="Y9" s="454"/>
      <c r="Z9" s="455"/>
      <c r="AA9" s="455"/>
      <c r="AB9" s="455"/>
      <c r="AC9" s="454"/>
      <c r="AD9" s="455"/>
      <c r="AK9" s="455"/>
      <c r="AL9" s="455"/>
      <c r="AM9" s="455"/>
    </row>
    <row r="10" spans="1:41" ht="15.75" customHeight="1" x14ac:dyDescent="0.25">
      <c r="A10" s="416"/>
      <c r="B10" s="416" t="s">
        <v>269</v>
      </c>
      <c r="C10" s="416"/>
    </row>
    <row r="11" spans="1:41" ht="15.75" customHeight="1" x14ac:dyDescent="0.25">
      <c r="A11" s="416"/>
      <c r="B11" s="417" t="s">
        <v>270</v>
      </c>
      <c r="C11" s="416"/>
    </row>
    <row r="12" spans="1:41" x14ac:dyDescent="0.25">
      <c r="B12" s="487" t="s">
        <v>336</v>
      </c>
      <c r="D12" s="314"/>
      <c r="E12" s="314"/>
      <c r="AD12" s="272"/>
      <c r="AE12" s="272"/>
      <c r="AH12" s="272"/>
      <c r="AI12" s="272"/>
      <c r="AJ12" s="272"/>
    </row>
    <row r="13" spans="1:41" x14ac:dyDescent="0.25">
      <c r="D13" s="314"/>
      <c r="E13" s="314"/>
      <c r="AD13" s="272"/>
      <c r="AE13" s="272"/>
      <c r="AH13" s="272"/>
      <c r="AI13" s="272"/>
      <c r="AJ13" s="272"/>
    </row>
    <row r="14" spans="1:41" x14ac:dyDescent="0.25">
      <c r="B14" s="416" t="s">
        <v>345</v>
      </c>
      <c r="C14" s="416"/>
      <c r="D14" s="314"/>
      <c r="E14" s="314"/>
      <c r="AD14" s="272"/>
      <c r="AE14" s="272"/>
      <c r="AH14" s="272"/>
      <c r="AI14" s="272"/>
      <c r="AJ14" s="272"/>
    </row>
    <row r="15" spans="1:41" x14ac:dyDescent="0.25">
      <c r="B15" s="416" t="s">
        <v>346</v>
      </c>
      <c r="C15" s="461" t="s">
        <v>347</v>
      </c>
    </row>
    <row r="16" spans="1:41" x14ac:dyDescent="0.25">
      <c r="B16" s="416" t="s">
        <v>348</v>
      </c>
      <c r="C16" s="461" t="s">
        <v>350</v>
      </c>
      <c r="D16" s="314"/>
      <c r="E16" s="314"/>
      <c r="AA16" s="455"/>
    </row>
    <row r="17" spans="2:36" x14ac:dyDescent="0.25">
      <c r="B17" s="416" t="s">
        <v>349</v>
      </c>
      <c r="C17" s="461" t="s">
        <v>350</v>
      </c>
      <c r="D17" s="314"/>
      <c r="E17" s="314"/>
      <c r="AE17" s="456"/>
      <c r="AF17" s="257"/>
    </row>
    <row r="18" spans="2:36" x14ac:dyDescent="0.25">
      <c r="D18" s="314"/>
      <c r="E18" s="314"/>
      <c r="AE18" s="456"/>
    </row>
    <row r="19" spans="2:36" x14ac:dyDescent="0.25">
      <c r="AE19" s="456"/>
      <c r="AH19" s="272"/>
      <c r="AI19" s="272"/>
      <c r="AJ19" s="272"/>
    </row>
    <row r="20" spans="2:36" x14ac:dyDescent="0.25">
      <c r="AE20" s="456"/>
      <c r="AH20" s="257"/>
      <c r="AI20" s="257"/>
      <c r="AJ20" s="257"/>
    </row>
    <row r="21" spans="2:36" x14ac:dyDescent="0.25">
      <c r="AE21" s="456"/>
    </row>
    <row r="22" spans="2:36" x14ac:dyDescent="0.25">
      <c r="AE22" s="456"/>
    </row>
    <row r="25" spans="2:36" x14ac:dyDescent="0.25">
      <c r="AH25" s="272"/>
      <c r="AI25" s="272"/>
      <c r="AJ25" s="272"/>
    </row>
    <row r="28" spans="2:36" x14ac:dyDescent="0.25">
      <c r="AF28" s="257"/>
    </row>
    <row r="31" spans="2:36" x14ac:dyDescent="0.25">
      <c r="AH31" s="272"/>
      <c r="AI31" s="272"/>
      <c r="AJ31" s="272"/>
    </row>
    <row r="32" spans="2:36" x14ac:dyDescent="0.25">
      <c r="AH32" s="257"/>
      <c r="AI32" s="257"/>
      <c r="AJ32" s="257"/>
    </row>
    <row r="41" spans="29:32" x14ac:dyDescent="0.25">
      <c r="AF41" s="257"/>
    </row>
    <row r="45" spans="29:32" x14ac:dyDescent="0.25">
      <c r="AC45" s="275"/>
    </row>
  </sheetData>
  <mergeCells count="3">
    <mergeCell ref="A1:L1"/>
    <mergeCell ref="AC1:AJ1"/>
    <mergeCell ref="P1:AB1"/>
  </mergeCells>
  <phoneticPr fontId="64" type="noConversion"/>
  <pageMargins left="0.23622047244094491" right="0.23622047244094491" top="0.74803149606299213" bottom="0.74803149606299213" header="0.31496062992125984" footer="0.31496062992125984"/>
  <pageSetup paperSize="8" scale="66" fitToWidth="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32"/>
  <sheetViews>
    <sheetView topLeftCell="A13" workbookViewId="0">
      <selection activeCell="A28" sqref="A28:I28"/>
    </sheetView>
  </sheetViews>
  <sheetFormatPr defaultColWidth="9.140625" defaultRowHeight="15" x14ac:dyDescent="0.25"/>
  <cols>
    <col min="1" max="1" width="54.42578125" style="384" customWidth="1"/>
    <col min="2" max="2" width="19.140625" style="383" customWidth="1"/>
    <col min="3" max="8" width="17.140625" style="383" customWidth="1"/>
    <col min="9" max="9" width="35.140625" style="384" customWidth="1"/>
    <col min="10" max="16384" width="9.140625" style="384"/>
  </cols>
  <sheetData>
    <row r="1" spans="1:9" ht="23.25" x14ac:dyDescent="0.25">
      <c r="A1" s="382" t="s">
        <v>222</v>
      </c>
    </row>
    <row r="3" spans="1:9" x14ac:dyDescent="0.25">
      <c r="A3" s="384" t="s">
        <v>236</v>
      </c>
    </row>
    <row r="5" spans="1:9" ht="92.25" x14ac:dyDescent="0.25">
      <c r="A5" s="385" t="s">
        <v>237</v>
      </c>
      <c r="B5" s="386" t="s">
        <v>223</v>
      </c>
      <c r="C5" s="386" t="s">
        <v>224</v>
      </c>
      <c r="D5" s="386" t="s">
        <v>225</v>
      </c>
      <c r="E5" s="386" t="s">
        <v>226</v>
      </c>
      <c r="F5" s="386" t="s">
        <v>238</v>
      </c>
      <c r="G5" s="386" t="s">
        <v>239</v>
      </c>
      <c r="H5" s="386" t="s">
        <v>227</v>
      </c>
      <c r="I5" s="387" t="s">
        <v>220</v>
      </c>
    </row>
    <row r="6" spans="1:9" x14ac:dyDescent="0.25">
      <c r="A6" s="488" t="s">
        <v>373</v>
      </c>
      <c r="B6" s="489">
        <v>0.5</v>
      </c>
      <c r="C6" s="489">
        <v>21</v>
      </c>
      <c r="D6" s="489" t="s">
        <v>361</v>
      </c>
      <c r="E6" s="489" t="s">
        <v>228</v>
      </c>
      <c r="F6" s="489">
        <v>1667</v>
      </c>
      <c r="G6" s="489">
        <v>8.6</v>
      </c>
      <c r="H6" s="489">
        <v>300</v>
      </c>
      <c r="I6" s="490"/>
    </row>
    <row r="7" spans="1:9" x14ac:dyDescent="0.25">
      <c r="A7" s="491" t="s">
        <v>374</v>
      </c>
      <c r="B7" s="492">
        <v>0.5</v>
      </c>
      <c r="C7" s="492">
        <v>19</v>
      </c>
      <c r="D7" s="492" t="s">
        <v>361</v>
      </c>
      <c r="E7" s="492" t="s">
        <v>228</v>
      </c>
      <c r="F7" s="492">
        <v>1667</v>
      </c>
      <c r="G7" s="492"/>
      <c r="H7" s="492">
        <v>300</v>
      </c>
      <c r="I7" s="493"/>
    </row>
    <row r="8" spans="1:9" x14ac:dyDescent="0.25">
      <c r="A8" s="488" t="s">
        <v>375</v>
      </c>
      <c r="B8" s="489">
        <v>1</v>
      </c>
      <c r="C8" s="489">
        <v>21</v>
      </c>
      <c r="D8" s="489" t="s">
        <v>361</v>
      </c>
      <c r="E8" s="489" t="s">
        <v>228</v>
      </c>
      <c r="F8" s="489">
        <v>1667</v>
      </c>
      <c r="G8" s="489"/>
      <c r="H8" s="489">
        <v>300</v>
      </c>
      <c r="I8" s="490"/>
    </row>
    <row r="9" spans="1:9" x14ac:dyDescent="0.25">
      <c r="A9" s="488" t="s">
        <v>229</v>
      </c>
      <c r="B9" s="489"/>
      <c r="C9" s="489">
        <v>20</v>
      </c>
      <c r="D9" s="489" t="s">
        <v>361</v>
      </c>
      <c r="E9" s="489" t="s">
        <v>228</v>
      </c>
      <c r="F9" s="489">
        <v>1667</v>
      </c>
      <c r="G9" s="489"/>
      <c r="H9" s="489">
        <v>200</v>
      </c>
      <c r="I9" s="490"/>
    </row>
    <row r="10" spans="1:9" x14ac:dyDescent="0.25">
      <c r="A10" s="491" t="s">
        <v>230</v>
      </c>
      <c r="B10" s="492">
        <v>0.1</v>
      </c>
      <c r="C10" s="492">
        <v>21</v>
      </c>
      <c r="D10" s="492" t="s">
        <v>361</v>
      </c>
      <c r="E10" s="492" t="s">
        <v>228</v>
      </c>
      <c r="F10" s="492">
        <v>1667</v>
      </c>
      <c r="G10" s="492">
        <v>2.5</v>
      </c>
      <c r="H10" s="492">
        <v>500</v>
      </c>
      <c r="I10" s="493"/>
    </row>
    <row r="11" spans="1:9" x14ac:dyDescent="0.25">
      <c r="A11" s="488" t="s">
        <v>231</v>
      </c>
      <c r="B11" s="489">
        <v>1</v>
      </c>
      <c r="C11" s="489">
        <v>21</v>
      </c>
      <c r="D11" s="489" t="s">
        <v>361</v>
      </c>
      <c r="E11" s="489" t="s">
        <v>228</v>
      </c>
      <c r="F11" s="489">
        <v>1667</v>
      </c>
      <c r="G11" s="489"/>
      <c r="H11" s="489">
        <v>200</v>
      </c>
      <c r="I11" s="490"/>
    </row>
    <row r="12" spans="1:9" x14ac:dyDescent="0.25">
      <c r="A12" s="494" t="s">
        <v>232</v>
      </c>
      <c r="B12" s="495">
        <v>0.1</v>
      </c>
      <c r="C12" s="495">
        <v>18</v>
      </c>
      <c r="D12" s="495" t="s">
        <v>361</v>
      </c>
      <c r="E12" s="495" t="s">
        <v>228</v>
      </c>
      <c r="F12" s="495">
        <v>1667</v>
      </c>
      <c r="G12" s="495"/>
      <c r="H12" s="495">
        <v>150</v>
      </c>
      <c r="I12" s="496"/>
    </row>
    <row r="13" spans="1:9" x14ac:dyDescent="0.25">
      <c r="A13" s="499"/>
      <c r="B13" s="500"/>
      <c r="C13" s="500"/>
      <c r="D13" s="500"/>
      <c r="E13" s="500"/>
      <c r="F13" s="500"/>
      <c r="G13" s="500"/>
      <c r="H13" s="500"/>
      <c r="I13" s="501"/>
    </row>
    <row r="14" spans="1:9" x14ac:dyDescent="0.25">
      <c r="A14" s="384" t="s">
        <v>233</v>
      </c>
    </row>
    <row r="15" spans="1:9" ht="45" x14ac:dyDescent="0.25">
      <c r="A15" s="385" t="s">
        <v>234</v>
      </c>
      <c r="B15" s="387" t="s">
        <v>221</v>
      </c>
    </row>
    <row r="16" spans="1:9" ht="38.25" customHeight="1" x14ac:dyDescent="0.25">
      <c r="A16" s="388" t="s">
        <v>235</v>
      </c>
      <c r="B16" s="389">
        <v>50</v>
      </c>
    </row>
    <row r="18" spans="1:9" x14ac:dyDescent="0.25">
      <c r="A18" s="384" t="s">
        <v>240</v>
      </c>
    </row>
    <row r="19" spans="1:9" x14ac:dyDescent="0.25">
      <c r="A19" s="384" t="s">
        <v>241</v>
      </c>
    </row>
    <row r="20" spans="1:9" x14ac:dyDescent="0.25">
      <c r="A20" s="384" t="s">
        <v>242</v>
      </c>
    </row>
    <row r="21" spans="1:9" x14ac:dyDescent="0.25">
      <c r="A21" s="436" t="s">
        <v>254</v>
      </c>
    </row>
    <row r="23" spans="1:9" x14ac:dyDescent="0.25">
      <c r="A23" s="390" t="s">
        <v>243</v>
      </c>
    </row>
    <row r="24" spans="1:9" x14ac:dyDescent="0.25">
      <c r="A24" s="391" t="s">
        <v>244</v>
      </c>
      <c r="B24" s="392"/>
      <c r="C24" s="392"/>
      <c r="D24" s="392"/>
      <c r="E24" s="392"/>
      <c r="F24" s="392"/>
      <c r="G24" s="392"/>
      <c r="H24" s="392"/>
      <c r="I24" s="391"/>
    </row>
    <row r="25" spans="1:9" x14ac:dyDescent="0.25">
      <c r="A25" s="391" t="s">
        <v>245</v>
      </c>
      <c r="B25" s="392"/>
      <c r="C25" s="392"/>
      <c r="D25" s="392"/>
      <c r="E25" s="392"/>
      <c r="F25" s="392"/>
      <c r="G25" s="392"/>
      <c r="H25" s="392"/>
      <c r="I25" s="391"/>
    </row>
    <row r="26" spans="1:9" ht="39" customHeight="1" x14ac:dyDescent="0.25">
      <c r="A26" s="519" t="s">
        <v>246</v>
      </c>
      <c r="B26" s="519"/>
      <c r="C26" s="519"/>
      <c r="D26" s="519"/>
      <c r="E26" s="519"/>
      <c r="F26" s="519"/>
      <c r="G26" s="519"/>
      <c r="H26" s="519"/>
      <c r="I26" s="519"/>
    </row>
    <row r="27" spans="1:9" x14ac:dyDescent="0.25">
      <c r="A27" s="391" t="s">
        <v>247</v>
      </c>
      <c r="B27" s="392"/>
      <c r="C27" s="392"/>
      <c r="D27" s="392"/>
      <c r="E27" s="392"/>
      <c r="F27" s="392"/>
      <c r="G27" s="392"/>
      <c r="H27" s="392"/>
      <c r="I27" s="391"/>
    </row>
    <row r="28" spans="1:9" ht="39.75" customHeight="1" x14ac:dyDescent="0.25">
      <c r="A28" s="519" t="s">
        <v>248</v>
      </c>
      <c r="B28" s="519"/>
      <c r="C28" s="519"/>
      <c r="D28" s="519"/>
      <c r="E28" s="519"/>
      <c r="F28" s="519"/>
      <c r="G28" s="519"/>
      <c r="H28" s="519"/>
      <c r="I28" s="519"/>
    </row>
    <row r="29" spans="1:9" ht="52.5" customHeight="1" x14ac:dyDescent="0.25">
      <c r="A29" s="519" t="s">
        <v>249</v>
      </c>
      <c r="B29" s="519"/>
      <c r="C29" s="519"/>
      <c r="D29" s="519"/>
      <c r="E29" s="519"/>
      <c r="F29" s="519"/>
      <c r="G29" s="519"/>
      <c r="H29" s="519"/>
      <c r="I29" s="519"/>
    </row>
    <row r="30" spans="1:9" ht="39.75" customHeight="1" x14ac:dyDescent="0.25">
      <c r="A30" s="519" t="s">
        <v>250</v>
      </c>
      <c r="B30" s="519"/>
      <c r="C30" s="519"/>
      <c r="D30" s="519"/>
      <c r="E30" s="519"/>
      <c r="F30" s="519"/>
      <c r="G30" s="519"/>
      <c r="H30" s="519"/>
      <c r="I30" s="519"/>
    </row>
    <row r="31" spans="1:9" x14ac:dyDescent="0.25">
      <c r="A31" s="520" t="s">
        <v>297</v>
      </c>
      <c r="B31" s="520"/>
      <c r="C31" s="520"/>
      <c r="D31" s="520"/>
      <c r="E31" s="520"/>
      <c r="F31" s="520"/>
      <c r="G31" s="520"/>
      <c r="H31" s="520"/>
      <c r="I31" s="520"/>
    </row>
    <row r="32" spans="1:9" ht="32.25" customHeight="1" x14ac:dyDescent="0.25">
      <c r="A32" s="518"/>
      <c r="B32" s="518"/>
      <c r="C32" s="518"/>
      <c r="D32" s="518"/>
      <c r="E32" s="518"/>
      <c r="F32" s="518"/>
      <c r="G32" s="518"/>
      <c r="H32" s="518"/>
      <c r="I32" s="518"/>
    </row>
  </sheetData>
  <mergeCells count="6">
    <mergeCell ref="A32:I32"/>
    <mergeCell ref="A26:I26"/>
    <mergeCell ref="A28:I28"/>
    <mergeCell ref="A29:I29"/>
    <mergeCell ref="A30:I30"/>
    <mergeCell ref="A31:I31"/>
  </mergeCells>
  <pageMargins left="0.23622047244094491" right="0.23622047244094491" top="0.74803149606299213" bottom="0.74803149606299213" header="0.31496062992125984" footer="0.31496062992125984"/>
  <pageSetup paperSize="9" scale="9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B43"/>
  <sheetViews>
    <sheetView view="pageBreakPreview" zoomScaleSheetLayoutView="100" workbookViewId="0">
      <selection activeCell="B35" sqref="B35"/>
    </sheetView>
  </sheetViews>
  <sheetFormatPr defaultColWidth="8.85546875" defaultRowHeight="15" x14ac:dyDescent="0.25"/>
  <cols>
    <col min="1" max="1" width="8.140625" style="419" customWidth="1"/>
    <col min="2" max="2" width="86" style="419" customWidth="1"/>
  </cols>
  <sheetData>
    <row r="1" spans="1:2" ht="36" customHeight="1" x14ac:dyDescent="0.25">
      <c r="A1" s="423" t="s">
        <v>271</v>
      </c>
      <c r="B1" s="423" t="s">
        <v>272</v>
      </c>
    </row>
    <row r="3" spans="1:2" x14ac:dyDescent="0.25">
      <c r="B3" s="424" t="s">
        <v>204</v>
      </c>
    </row>
    <row r="4" spans="1:2" x14ac:dyDescent="0.25">
      <c r="B4" s="424" t="s">
        <v>273</v>
      </c>
    </row>
    <row r="5" spans="1:2" x14ac:dyDescent="0.25">
      <c r="B5" s="424" t="s">
        <v>274</v>
      </c>
    </row>
    <row r="6" spans="1:2" ht="30" x14ac:dyDescent="0.25">
      <c r="B6" s="424" t="s">
        <v>275</v>
      </c>
    </row>
    <row r="7" spans="1:2" x14ac:dyDescent="0.25">
      <c r="B7" s="424" t="s">
        <v>276</v>
      </c>
    </row>
    <row r="8" spans="1:2" ht="30" x14ac:dyDescent="0.25">
      <c r="B8" s="424" t="s">
        <v>277</v>
      </c>
    </row>
    <row r="9" spans="1:2" x14ac:dyDescent="0.25">
      <c r="B9" s="424" t="s">
        <v>278</v>
      </c>
    </row>
    <row r="10" spans="1:2" x14ac:dyDescent="0.25">
      <c r="B10" s="391"/>
    </row>
    <row r="11" spans="1:2" ht="45" x14ac:dyDescent="0.25">
      <c r="B11" s="424" t="s">
        <v>279</v>
      </c>
    </row>
    <row r="12" spans="1:2" x14ac:dyDescent="0.25">
      <c r="B12" s="424"/>
    </row>
    <row r="13" spans="1:2" ht="45" x14ac:dyDescent="0.25">
      <c r="B13" s="424" t="s">
        <v>205</v>
      </c>
    </row>
    <row r="14" spans="1:2" x14ac:dyDescent="0.25">
      <c r="B14" s="424"/>
    </row>
    <row r="15" spans="1:2" ht="45" x14ac:dyDescent="0.25">
      <c r="B15" s="424" t="s">
        <v>280</v>
      </c>
    </row>
    <row r="16" spans="1:2" x14ac:dyDescent="0.25">
      <c r="B16" s="424"/>
    </row>
    <row r="17" spans="2:2" ht="30" x14ac:dyDescent="0.25">
      <c r="B17" s="424" t="s">
        <v>281</v>
      </c>
    </row>
    <row r="18" spans="2:2" x14ac:dyDescent="0.25">
      <c r="B18" s="424"/>
    </row>
    <row r="19" spans="2:2" x14ac:dyDescent="0.25">
      <c r="B19" s="424" t="s">
        <v>206</v>
      </c>
    </row>
    <row r="20" spans="2:2" x14ac:dyDescent="0.25">
      <c r="B20" s="424" t="s">
        <v>207</v>
      </c>
    </row>
    <row r="21" spans="2:2" x14ac:dyDescent="0.25">
      <c r="B21" s="424"/>
    </row>
    <row r="22" spans="2:2" x14ac:dyDescent="0.25">
      <c r="B22" s="424" t="s">
        <v>208</v>
      </c>
    </row>
    <row r="23" spans="2:2" x14ac:dyDescent="0.25">
      <c r="B23" s="424" t="s">
        <v>209</v>
      </c>
    </row>
    <row r="24" spans="2:2" x14ac:dyDescent="0.25">
      <c r="B24" s="424" t="s">
        <v>210</v>
      </c>
    </row>
    <row r="25" spans="2:2" x14ac:dyDescent="0.25">
      <c r="B25" s="424" t="s">
        <v>211</v>
      </c>
    </row>
    <row r="26" spans="2:2" x14ac:dyDescent="0.25">
      <c r="B26" s="424"/>
    </row>
    <row r="27" spans="2:2" x14ac:dyDescent="0.25">
      <c r="B27" s="424" t="s">
        <v>212</v>
      </c>
    </row>
    <row r="28" spans="2:2" x14ac:dyDescent="0.25">
      <c r="B28" s="424" t="s">
        <v>213</v>
      </c>
    </row>
    <row r="29" spans="2:2" x14ac:dyDescent="0.25">
      <c r="B29" s="424" t="s">
        <v>214</v>
      </c>
    </row>
    <row r="30" spans="2:2" x14ac:dyDescent="0.25">
      <c r="B30" s="424" t="s">
        <v>215</v>
      </c>
    </row>
    <row r="31" spans="2:2" x14ac:dyDescent="0.25">
      <c r="B31" s="424" t="s">
        <v>216</v>
      </c>
    </row>
    <row r="32" spans="2:2" x14ac:dyDescent="0.25">
      <c r="B32" s="424"/>
    </row>
    <row r="33" spans="2:2" x14ac:dyDescent="0.25">
      <c r="B33" s="424" t="s">
        <v>217</v>
      </c>
    </row>
    <row r="34" spans="2:2" x14ac:dyDescent="0.25">
      <c r="B34" s="424" t="s">
        <v>218</v>
      </c>
    </row>
    <row r="35" spans="2:2" x14ac:dyDescent="0.25">
      <c r="B35" s="424" t="s">
        <v>219</v>
      </c>
    </row>
    <row r="36" spans="2:2" x14ac:dyDescent="0.25">
      <c r="B36" s="424"/>
    </row>
    <row r="37" spans="2:2" ht="30" x14ac:dyDescent="0.25">
      <c r="B37" s="424" t="s">
        <v>282</v>
      </c>
    </row>
    <row r="38" spans="2:2" x14ac:dyDescent="0.25">
      <c r="B38" s="424"/>
    </row>
    <row r="39" spans="2:2" ht="45" x14ac:dyDescent="0.25">
      <c r="B39" s="424" t="s">
        <v>283</v>
      </c>
    </row>
    <row r="40" spans="2:2" x14ac:dyDescent="0.25">
      <c r="B40" s="424"/>
    </row>
    <row r="41" spans="2:2" ht="60" x14ac:dyDescent="0.25">
      <c r="B41" s="424" t="s">
        <v>284</v>
      </c>
    </row>
    <row r="42" spans="2:2" x14ac:dyDescent="0.25">
      <c r="B42" s="424"/>
    </row>
    <row r="43" spans="2:2" ht="45" x14ac:dyDescent="0.25">
      <c r="B43" s="424" t="s">
        <v>285</v>
      </c>
    </row>
  </sheetData>
  <phoneticPr fontId="64" type="noConversion"/>
  <pageMargins left="0.7" right="0.7" top="0.61" bottom="0.39"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29"/>
  <sheetViews>
    <sheetView workbookViewId="0">
      <selection activeCell="E17" sqref="E17"/>
    </sheetView>
  </sheetViews>
  <sheetFormatPr defaultColWidth="9.140625" defaultRowHeight="15" x14ac:dyDescent="0.25"/>
  <cols>
    <col min="1" max="1" width="3.42578125" style="427" customWidth="1"/>
    <col min="2" max="2" width="82.42578125" style="427" customWidth="1"/>
    <col min="3" max="16384" width="9.140625" style="427"/>
  </cols>
  <sheetData>
    <row r="1" spans="1:2" ht="36.75" x14ac:dyDescent="0.25">
      <c r="A1" s="425" t="s">
        <v>286</v>
      </c>
      <c r="B1" s="426" t="s">
        <v>287</v>
      </c>
    </row>
    <row r="2" spans="1:2" x14ac:dyDescent="0.25">
      <c r="B2" s="428"/>
    </row>
    <row r="3" spans="1:2" x14ac:dyDescent="0.25">
      <c r="B3" s="429" t="s">
        <v>1</v>
      </c>
    </row>
    <row r="4" spans="1:2" x14ac:dyDescent="0.25">
      <c r="B4" s="428"/>
    </row>
    <row r="5" spans="1:2" ht="90" x14ac:dyDescent="0.25">
      <c r="B5" s="430" t="s">
        <v>293</v>
      </c>
    </row>
    <row r="6" spans="1:2" x14ac:dyDescent="0.25">
      <c r="B6" s="431"/>
    </row>
    <row r="7" spans="1:2" ht="30" x14ac:dyDescent="0.25">
      <c r="B7" s="432" t="s">
        <v>110</v>
      </c>
    </row>
    <row r="8" spans="1:2" x14ac:dyDescent="0.25">
      <c r="B8" s="432"/>
    </row>
    <row r="9" spans="1:2" ht="60" x14ac:dyDescent="0.25">
      <c r="B9" s="432" t="s">
        <v>111</v>
      </c>
    </row>
    <row r="10" spans="1:2" x14ac:dyDescent="0.25">
      <c r="B10" s="432"/>
    </row>
    <row r="11" spans="1:2" ht="60" x14ac:dyDescent="0.25">
      <c r="B11" s="432" t="s">
        <v>288</v>
      </c>
    </row>
    <row r="12" spans="1:2" x14ac:dyDescent="0.25">
      <c r="B12" s="432"/>
    </row>
    <row r="13" spans="1:2" ht="90" x14ac:dyDescent="0.25">
      <c r="B13" s="432" t="s">
        <v>289</v>
      </c>
    </row>
    <row r="14" spans="1:2" x14ac:dyDescent="0.25">
      <c r="B14" s="432"/>
    </row>
    <row r="15" spans="1:2" ht="60" x14ac:dyDescent="0.25">
      <c r="B15" s="432" t="s">
        <v>290</v>
      </c>
    </row>
    <row r="16" spans="1:2" x14ac:dyDescent="0.25">
      <c r="B16" s="432"/>
    </row>
    <row r="17" spans="2:2" ht="60" x14ac:dyDescent="0.25">
      <c r="B17" s="432" t="s">
        <v>291</v>
      </c>
    </row>
    <row r="18" spans="2:2" x14ac:dyDescent="0.25">
      <c r="B18" s="432"/>
    </row>
    <row r="19" spans="2:2" ht="45" x14ac:dyDescent="0.25">
      <c r="B19" s="432" t="s">
        <v>292</v>
      </c>
    </row>
    <row r="20" spans="2:2" x14ac:dyDescent="0.25">
      <c r="B20" s="432"/>
    </row>
    <row r="21" spans="2:2" ht="30" x14ac:dyDescent="0.25">
      <c r="B21" s="432" t="s">
        <v>294</v>
      </c>
    </row>
    <row r="22" spans="2:2" x14ac:dyDescent="0.25">
      <c r="B22" s="433"/>
    </row>
    <row r="23" spans="2:2" x14ac:dyDescent="0.25">
      <c r="B23" s="432"/>
    </row>
    <row r="24" spans="2:2" x14ac:dyDescent="0.25">
      <c r="B24" s="432"/>
    </row>
    <row r="25" spans="2:2" x14ac:dyDescent="0.25">
      <c r="B25" s="432"/>
    </row>
    <row r="26" spans="2:2" x14ac:dyDescent="0.25">
      <c r="B26" s="432"/>
    </row>
    <row r="27" spans="2:2" x14ac:dyDescent="0.25">
      <c r="B27" s="432"/>
    </row>
    <row r="28" spans="2:2" x14ac:dyDescent="0.25">
      <c r="B28" s="432"/>
    </row>
    <row r="29" spans="2:2" x14ac:dyDescent="0.25">
      <c r="B29" s="43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G86"/>
  <sheetViews>
    <sheetView view="pageBreakPreview" zoomScale="80" zoomScaleSheetLayoutView="80" workbookViewId="0">
      <selection activeCell="A2" sqref="A2"/>
    </sheetView>
  </sheetViews>
  <sheetFormatPr defaultColWidth="9.140625" defaultRowHeight="15" x14ac:dyDescent="0.3"/>
  <cols>
    <col min="1" max="1" width="18.42578125" style="1" customWidth="1"/>
    <col min="2" max="3" width="20.42578125" style="1" customWidth="1"/>
    <col min="4" max="4" width="38.28515625" style="1" customWidth="1"/>
    <col min="5" max="16384" width="9.140625" style="1"/>
  </cols>
  <sheetData>
    <row r="1" spans="1:7" ht="18.75" x14ac:dyDescent="0.3">
      <c r="A1" s="544" t="s">
        <v>2</v>
      </c>
      <c r="B1" s="544"/>
      <c r="C1" s="544"/>
    </row>
    <row r="3" spans="1:7" x14ac:dyDescent="0.3">
      <c r="A3" s="521" t="s">
        <v>31</v>
      </c>
      <c r="B3" s="521"/>
      <c r="C3" s="521"/>
      <c r="D3" s="521"/>
    </row>
    <row r="4" spans="1:7" ht="15.75" x14ac:dyDescent="0.3">
      <c r="A4" s="25" t="s">
        <v>30</v>
      </c>
      <c r="B4" s="524" t="e">
        <f>#REF!</f>
        <v>#REF!</v>
      </c>
      <c r="C4" s="524"/>
      <c r="D4" s="524"/>
    </row>
    <row r="5" spans="1:7" x14ac:dyDescent="0.3">
      <c r="A5" s="25" t="s">
        <v>29</v>
      </c>
      <c r="B5" s="525" t="e">
        <f>#REF!</f>
        <v>#REF!</v>
      </c>
      <c r="C5" s="525"/>
      <c r="D5" s="525"/>
    </row>
    <row r="6" spans="1:7" x14ac:dyDescent="0.3">
      <c r="A6" s="25" t="s">
        <v>28</v>
      </c>
      <c r="B6" s="525" t="e">
        <f>#REF!</f>
        <v>#REF!</v>
      </c>
      <c r="C6" s="525"/>
      <c r="D6" s="525"/>
    </row>
    <row r="7" spans="1:7" x14ac:dyDescent="0.3">
      <c r="A7" s="25" t="s">
        <v>27</v>
      </c>
      <c r="B7" s="526">
        <v>3448.5</v>
      </c>
      <c r="C7" s="526"/>
      <c r="D7" s="526"/>
      <c r="F7" s="15"/>
      <c r="G7" s="15"/>
    </row>
    <row r="8" spans="1:7" x14ac:dyDescent="0.3">
      <c r="A8" s="25" t="s">
        <v>26</v>
      </c>
      <c r="B8" s="525" t="s">
        <v>108</v>
      </c>
      <c r="C8" s="525"/>
      <c r="D8" s="525"/>
    </row>
    <row r="10" spans="1:7" x14ac:dyDescent="0.3">
      <c r="A10" s="521" t="s">
        <v>82</v>
      </c>
      <c r="B10" s="521"/>
      <c r="C10" s="521"/>
      <c r="D10" s="521"/>
    </row>
    <row r="11" spans="1:7" x14ac:dyDescent="0.3">
      <c r="A11" s="23" t="s">
        <v>89</v>
      </c>
      <c r="B11" s="7" t="s">
        <v>25</v>
      </c>
      <c r="C11" s="548" t="s">
        <v>24</v>
      </c>
      <c r="D11" s="549"/>
    </row>
    <row r="12" spans="1:7" x14ac:dyDescent="0.3">
      <c r="A12" s="23" t="s">
        <v>86</v>
      </c>
      <c r="B12" s="60" t="e">
        <f>'Referenčne količine'!#REF!</f>
        <v>#REF!</v>
      </c>
      <c r="C12" s="550" t="e">
        <f>'Referenčne količine'!#REF!</f>
        <v>#REF!</v>
      </c>
      <c r="D12" s="551"/>
      <c r="E12" s="15"/>
      <c r="F12" s="15"/>
    </row>
    <row r="13" spans="1:7" x14ac:dyDescent="0.3">
      <c r="A13" s="23" t="s">
        <v>88</v>
      </c>
      <c r="B13" s="61" t="e">
        <f>'Referenčne količine'!#REF!</f>
        <v>#REF!</v>
      </c>
      <c r="C13" s="552" t="e">
        <f>'Referenčne količine'!#REF!</f>
        <v>#REF!</v>
      </c>
      <c r="D13" s="553"/>
      <c r="E13" s="24"/>
      <c r="F13" s="24"/>
    </row>
    <row r="14" spans="1:7" x14ac:dyDescent="0.3">
      <c r="A14" s="23" t="s">
        <v>87</v>
      </c>
      <c r="B14" s="22" t="e">
        <f>B12*B13</f>
        <v>#REF!</v>
      </c>
      <c r="C14" s="554" t="e">
        <f>C12*C13</f>
        <v>#REF!</v>
      </c>
      <c r="D14" s="555"/>
      <c r="E14" s="21"/>
      <c r="F14" s="21"/>
    </row>
    <row r="15" spans="1:7" x14ac:dyDescent="0.3">
      <c r="A15" s="57" t="s">
        <v>81</v>
      </c>
      <c r="B15" s="527" t="e">
        <f>'Referenčne količine'!#REF!</f>
        <v>#REF!</v>
      </c>
      <c r="C15" s="528"/>
      <c r="D15" s="529"/>
      <c r="E15" s="21"/>
      <c r="F15" s="21"/>
    </row>
    <row r="17" spans="1:4" x14ac:dyDescent="0.3">
      <c r="A17" s="545" t="s">
        <v>20</v>
      </c>
      <c r="B17" s="546"/>
      <c r="C17" s="546"/>
      <c r="D17" s="547"/>
    </row>
    <row r="18" spans="1:4" x14ac:dyDescent="0.3">
      <c r="A18" s="535" t="s">
        <v>114</v>
      </c>
      <c r="B18" s="536"/>
      <c r="C18" s="536"/>
      <c r="D18" s="537"/>
    </row>
    <row r="19" spans="1:4" x14ac:dyDescent="0.3">
      <c r="A19" s="535" t="s">
        <v>102</v>
      </c>
      <c r="B19" s="536"/>
      <c r="C19" s="536"/>
      <c r="D19" s="537"/>
    </row>
    <row r="20" spans="1:4" x14ac:dyDescent="0.3">
      <c r="A20" s="535" t="s">
        <v>103</v>
      </c>
      <c r="B20" s="536"/>
      <c r="C20" s="536"/>
      <c r="D20" s="537"/>
    </row>
    <row r="21" spans="1:4" x14ac:dyDescent="0.3">
      <c r="A21" s="535" t="s">
        <v>95</v>
      </c>
      <c r="B21" s="536"/>
      <c r="C21" s="536"/>
      <c r="D21" s="537"/>
    </row>
    <row r="22" spans="1:4" x14ac:dyDescent="0.3">
      <c r="A22" s="535" t="s">
        <v>96</v>
      </c>
      <c r="B22" s="536"/>
      <c r="C22" s="536"/>
      <c r="D22" s="537"/>
    </row>
    <row r="23" spans="1:4" s="8" customFormat="1" x14ac:dyDescent="0.3">
      <c r="A23" s="535" t="s">
        <v>104</v>
      </c>
      <c r="B23" s="536"/>
      <c r="C23" s="536"/>
      <c r="D23" s="537"/>
    </row>
    <row r="24" spans="1:4" x14ac:dyDescent="0.3">
      <c r="A24" s="535" t="s">
        <v>97</v>
      </c>
      <c r="B24" s="536"/>
      <c r="C24" s="536"/>
      <c r="D24" s="537"/>
    </row>
    <row r="25" spans="1:4" s="8" customFormat="1" x14ac:dyDescent="0.3">
      <c r="A25" s="535" t="s">
        <v>99</v>
      </c>
      <c r="B25" s="536"/>
      <c r="C25" s="536"/>
      <c r="D25" s="537"/>
    </row>
    <row r="26" spans="1:4" x14ac:dyDescent="0.3">
      <c r="A26" s="541" t="s">
        <v>101</v>
      </c>
      <c r="B26" s="542"/>
      <c r="C26" s="542"/>
      <c r="D26" s="543"/>
    </row>
    <row r="27" spans="1:4" x14ac:dyDescent="0.3">
      <c r="A27" s="541" t="s">
        <v>105</v>
      </c>
      <c r="B27" s="542"/>
      <c r="C27" s="542"/>
      <c r="D27" s="543"/>
    </row>
    <row r="28" spans="1:4" x14ac:dyDescent="0.3">
      <c r="A28" s="541" t="s">
        <v>106</v>
      </c>
      <c r="B28" s="542"/>
      <c r="C28" s="542"/>
      <c r="D28" s="543"/>
    </row>
    <row r="29" spans="1:4" x14ac:dyDescent="0.3">
      <c r="A29" s="541" t="s">
        <v>107</v>
      </c>
      <c r="B29" s="542"/>
      <c r="C29" s="542"/>
      <c r="D29" s="543"/>
    </row>
    <row r="30" spans="1:4" x14ac:dyDescent="0.3">
      <c r="A30" s="541" t="s">
        <v>100</v>
      </c>
      <c r="B30" s="542"/>
      <c r="C30" s="542"/>
      <c r="D30" s="543"/>
    </row>
    <row r="31" spans="1:4" x14ac:dyDescent="0.3">
      <c r="A31" s="535" t="s">
        <v>112</v>
      </c>
      <c r="B31" s="536"/>
      <c r="C31" s="536"/>
      <c r="D31" s="537"/>
    </row>
    <row r="32" spans="1:4" x14ac:dyDescent="0.3">
      <c r="A32" s="535" t="s">
        <v>113</v>
      </c>
      <c r="B32" s="536"/>
      <c r="C32" s="536"/>
      <c r="D32" s="537"/>
    </row>
    <row r="33" spans="1:4" x14ac:dyDescent="0.3">
      <c r="A33" s="535" t="s">
        <v>98</v>
      </c>
      <c r="B33" s="536"/>
      <c r="C33" s="536"/>
      <c r="D33" s="537"/>
    </row>
    <row r="34" spans="1:4" x14ac:dyDescent="0.3">
      <c r="A34" s="538"/>
      <c r="B34" s="539"/>
      <c r="C34" s="539"/>
      <c r="D34" s="540"/>
    </row>
    <row r="35" spans="1:4" x14ac:dyDescent="0.3">
      <c r="A35" s="530" t="s">
        <v>91</v>
      </c>
      <c r="B35" s="530"/>
      <c r="C35" s="530"/>
      <c r="D35" s="20"/>
    </row>
    <row r="36" spans="1:4" x14ac:dyDescent="0.3">
      <c r="A36" s="530" t="s">
        <v>92</v>
      </c>
      <c r="B36" s="530"/>
      <c r="C36" s="530"/>
      <c r="D36" s="19">
        <f>(D35*1.2)-D35</f>
        <v>0</v>
      </c>
    </row>
    <row r="37" spans="1:4" x14ac:dyDescent="0.3">
      <c r="A37" s="530" t="s">
        <v>93</v>
      </c>
      <c r="B37" s="530"/>
      <c r="C37" s="530"/>
      <c r="D37" s="19">
        <f>D36+D35</f>
        <v>0</v>
      </c>
    </row>
    <row r="38" spans="1:4" x14ac:dyDescent="0.3">
      <c r="A38" s="18"/>
      <c r="B38" s="18"/>
      <c r="C38" s="18"/>
      <c r="D38" s="17"/>
    </row>
    <row r="39" spans="1:4" x14ac:dyDescent="0.3">
      <c r="A39" s="530" t="s">
        <v>19</v>
      </c>
      <c r="B39" s="530"/>
      <c r="C39" s="530"/>
      <c r="D39" s="12"/>
    </row>
    <row r="40" spans="1:4" x14ac:dyDescent="0.3">
      <c r="A40" s="530" t="s">
        <v>18</v>
      </c>
      <c r="B40" s="530"/>
      <c r="C40" s="530"/>
      <c r="D40" s="11">
        <f>IF(D39=0, 0, B12-D39)</f>
        <v>0</v>
      </c>
    </row>
    <row r="41" spans="1:4" x14ac:dyDescent="0.3">
      <c r="A41" s="530" t="s">
        <v>17</v>
      </c>
      <c r="B41" s="530"/>
      <c r="C41" s="530"/>
      <c r="D41" s="58" t="e">
        <f>B13</f>
        <v>#REF!</v>
      </c>
    </row>
    <row r="42" spans="1:4" x14ac:dyDescent="0.3">
      <c r="A42" s="530" t="s">
        <v>90</v>
      </c>
      <c r="B42" s="530"/>
      <c r="C42" s="530"/>
      <c r="D42" s="16" t="e">
        <f>D41*D39</f>
        <v>#REF!</v>
      </c>
    </row>
    <row r="43" spans="1:4" x14ac:dyDescent="0.3">
      <c r="A43" s="534" t="s">
        <v>16</v>
      </c>
      <c r="B43" s="534"/>
      <c r="C43" s="534"/>
      <c r="D43" s="14" t="e">
        <f>IF(D42=0,0,B14-D42)</f>
        <v>#REF!</v>
      </c>
    </row>
    <row r="44" spans="1:4" x14ac:dyDescent="0.3">
      <c r="A44" s="534" t="s">
        <v>15</v>
      </c>
      <c r="B44" s="534"/>
      <c r="C44" s="534"/>
      <c r="D44" s="13" t="e">
        <f>D43/B14</f>
        <v>#REF!</v>
      </c>
    </row>
    <row r="45" spans="1:4" x14ac:dyDescent="0.3">
      <c r="A45" s="18"/>
      <c r="B45" s="18"/>
      <c r="C45" s="18"/>
      <c r="D45" s="8"/>
    </row>
    <row r="46" spans="1:4" x14ac:dyDescent="0.3">
      <c r="A46" s="530" t="s">
        <v>14</v>
      </c>
      <c r="B46" s="530"/>
      <c r="C46" s="530"/>
      <c r="D46" s="12"/>
    </row>
    <row r="47" spans="1:4" x14ac:dyDescent="0.3">
      <c r="A47" s="530" t="s">
        <v>13</v>
      </c>
      <c r="B47" s="530"/>
      <c r="C47" s="530"/>
      <c r="D47" s="11">
        <f>IF(D46=0, 0, C12-D46)</f>
        <v>0</v>
      </c>
    </row>
    <row r="48" spans="1:4" x14ac:dyDescent="0.3">
      <c r="A48" s="530" t="s">
        <v>12</v>
      </c>
      <c r="B48" s="530"/>
      <c r="C48" s="530"/>
      <c r="D48" s="10">
        <f>IF(D46=0, 0, 1-D46/C12)</f>
        <v>0</v>
      </c>
    </row>
    <row r="49" spans="1:4" x14ac:dyDescent="0.3">
      <c r="A49" s="530" t="s">
        <v>11</v>
      </c>
      <c r="B49" s="530"/>
      <c r="C49" s="530"/>
      <c r="D49" s="9">
        <f>IF(D46=0, 0, D47*C14/C12)</f>
        <v>0</v>
      </c>
    </row>
    <row r="50" spans="1:4" x14ac:dyDescent="0.3">
      <c r="A50" s="18"/>
      <c r="B50" s="18"/>
      <c r="C50" s="18"/>
      <c r="D50" s="8"/>
    </row>
    <row r="51" spans="1:4" x14ac:dyDescent="0.3">
      <c r="A51" s="530" t="s">
        <v>80</v>
      </c>
      <c r="B51" s="530"/>
      <c r="C51" s="530"/>
      <c r="D51" s="12"/>
    </row>
    <row r="52" spans="1:4" x14ac:dyDescent="0.3">
      <c r="A52" s="530" t="s">
        <v>78</v>
      </c>
      <c r="B52" s="530"/>
      <c r="C52" s="530"/>
      <c r="D52" s="10">
        <f>IF(D51=0,0,1-D51/B15)</f>
        <v>0</v>
      </c>
    </row>
    <row r="53" spans="1:4" x14ac:dyDescent="0.3">
      <c r="A53" s="530" t="s">
        <v>79</v>
      </c>
      <c r="B53" s="530"/>
      <c r="C53" s="530"/>
      <c r="D53" s="9">
        <f>IF(D51=0,0,D52*B15)</f>
        <v>0</v>
      </c>
    </row>
    <row r="54" spans="1:4" ht="15.75" thickBot="1" x14ac:dyDescent="0.35">
      <c r="D54" s="8"/>
    </row>
    <row r="55" spans="1:4" ht="16.5" customHeight="1" thickBot="1" x14ac:dyDescent="0.35">
      <c r="A55" s="531" t="s">
        <v>10</v>
      </c>
      <c r="B55" s="532"/>
      <c r="C55" s="533"/>
      <c r="D55" s="62" t="e">
        <f>D43+D49+D53</f>
        <v>#REF!</v>
      </c>
    </row>
    <row r="56" spans="1:4" ht="16.5" customHeight="1" thickBot="1" x14ac:dyDescent="0.35">
      <c r="A56" s="531" t="s">
        <v>9</v>
      </c>
      <c r="B56" s="532"/>
      <c r="C56" s="533"/>
      <c r="D56" s="63" t="e">
        <f>C75</f>
        <v>#REF!</v>
      </c>
    </row>
    <row r="58" spans="1:4" x14ac:dyDescent="0.3">
      <c r="A58" s="521" t="s">
        <v>8</v>
      </c>
      <c r="B58" s="521"/>
      <c r="C58" s="521"/>
    </row>
    <row r="59" spans="1:4" x14ac:dyDescent="0.3">
      <c r="A59" s="56" t="s">
        <v>7</v>
      </c>
      <c r="B59" s="56" t="s">
        <v>6</v>
      </c>
      <c r="C59" s="56" t="s">
        <v>5</v>
      </c>
    </row>
    <row r="60" spans="1:4" x14ac:dyDescent="0.3">
      <c r="A60" s="7">
        <v>1</v>
      </c>
      <c r="B60" s="6" t="e">
        <f t="shared" ref="B60:B74" si="0">$D$55</f>
        <v>#REF!</v>
      </c>
      <c r="C60" s="5" t="e">
        <f t="shared" ref="C60:C74" si="1">B60/(1+$B$77)^A60</f>
        <v>#REF!</v>
      </c>
    </row>
    <row r="61" spans="1:4" x14ac:dyDescent="0.3">
      <c r="A61" s="7">
        <v>2</v>
      </c>
      <c r="B61" s="6" t="e">
        <f t="shared" si="0"/>
        <v>#REF!</v>
      </c>
      <c r="C61" s="5" t="e">
        <f t="shared" si="1"/>
        <v>#REF!</v>
      </c>
    </row>
    <row r="62" spans="1:4" x14ac:dyDescent="0.3">
      <c r="A62" s="7">
        <v>3</v>
      </c>
      <c r="B62" s="6" t="e">
        <f t="shared" si="0"/>
        <v>#REF!</v>
      </c>
      <c r="C62" s="5" t="e">
        <f t="shared" si="1"/>
        <v>#REF!</v>
      </c>
    </row>
    <row r="63" spans="1:4" x14ac:dyDescent="0.3">
      <c r="A63" s="7">
        <v>4</v>
      </c>
      <c r="B63" s="6" t="e">
        <f t="shared" si="0"/>
        <v>#REF!</v>
      </c>
      <c r="C63" s="5" t="e">
        <f t="shared" si="1"/>
        <v>#REF!</v>
      </c>
    </row>
    <row r="64" spans="1:4" x14ac:dyDescent="0.3">
      <c r="A64" s="7">
        <v>5</v>
      </c>
      <c r="B64" s="6" t="e">
        <f t="shared" si="0"/>
        <v>#REF!</v>
      </c>
      <c r="C64" s="5" t="e">
        <f t="shared" si="1"/>
        <v>#REF!</v>
      </c>
    </row>
    <row r="65" spans="1:3" x14ac:dyDescent="0.3">
      <c r="A65" s="7">
        <v>6</v>
      </c>
      <c r="B65" s="6" t="e">
        <f t="shared" si="0"/>
        <v>#REF!</v>
      </c>
      <c r="C65" s="5" t="e">
        <f t="shared" si="1"/>
        <v>#REF!</v>
      </c>
    </row>
    <row r="66" spans="1:3" x14ac:dyDescent="0.3">
      <c r="A66" s="7">
        <v>7</v>
      </c>
      <c r="B66" s="6" t="e">
        <f t="shared" si="0"/>
        <v>#REF!</v>
      </c>
      <c r="C66" s="5" t="e">
        <f t="shared" si="1"/>
        <v>#REF!</v>
      </c>
    </row>
    <row r="67" spans="1:3" x14ac:dyDescent="0.3">
      <c r="A67" s="7">
        <v>8</v>
      </c>
      <c r="B67" s="6" t="e">
        <f t="shared" si="0"/>
        <v>#REF!</v>
      </c>
      <c r="C67" s="5" t="e">
        <f t="shared" si="1"/>
        <v>#REF!</v>
      </c>
    </row>
    <row r="68" spans="1:3" x14ac:dyDescent="0.3">
      <c r="A68" s="7">
        <v>9</v>
      </c>
      <c r="B68" s="6" t="e">
        <f t="shared" si="0"/>
        <v>#REF!</v>
      </c>
      <c r="C68" s="5" t="e">
        <f t="shared" si="1"/>
        <v>#REF!</v>
      </c>
    </row>
    <row r="69" spans="1:3" x14ac:dyDescent="0.3">
      <c r="A69" s="7">
        <v>10</v>
      </c>
      <c r="B69" s="6" t="e">
        <f t="shared" si="0"/>
        <v>#REF!</v>
      </c>
      <c r="C69" s="5" t="e">
        <f t="shared" si="1"/>
        <v>#REF!</v>
      </c>
    </row>
    <row r="70" spans="1:3" x14ac:dyDescent="0.3">
      <c r="A70" s="7">
        <v>11</v>
      </c>
      <c r="B70" s="6" t="e">
        <f t="shared" si="0"/>
        <v>#REF!</v>
      </c>
      <c r="C70" s="5" t="e">
        <f t="shared" si="1"/>
        <v>#REF!</v>
      </c>
    </row>
    <row r="71" spans="1:3" x14ac:dyDescent="0.3">
      <c r="A71" s="7">
        <v>12</v>
      </c>
      <c r="B71" s="6" t="e">
        <f t="shared" si="0"/>
        <v>#REF!</v>
      </c>
      <c r="C71" s="5" t="e">
        <f t="shared" si="1"/>
        <v>#REF!</v>
      </c>
    </row>
    <row r="72" spans="1:3" x14ac:dyDescent="0.3">
      <c r="A72" s="7">
        <v>13</v>
      </c>
      <c r="B72" s="6" t="e">
        <f t="shared" si="0"/>
        <v>#REF!</v>
      </c>
      <c r="C72" s="5" t="e">
        <f t="shared" si="1"/>
        <v>#REF!</v>
      </c>
    </row>
    <row r="73" spans="1:3" x14ac:dyDescent="0.3">
      <c r="A73" s="7">
        <v>14</v>
      </c>
      <c r="B73" s="6" t="e">
        <f t="shared" si="0"/>
        <v>#REF!</v>
      </c>
      <c r="C73" s="5" t="e">
        <f t="shared" si="1"/>
        <v>#REF!</v>
      </c>
    </row>
    <row r="74" spans="1:3" x14ac:dyDescent="0.3">
      <c r="A74" s="7">
        <v>15</v>
      </c>
      <c r="B74" s="6" t="e">
        <f t="shared" si="0"/>
        <v>#REF!</v>
      </c>
      <c r="C74" s="5" t="e">
        <f t="shared" si="1"/>
        <v>#REF!</v>
      </c>
    </row>
    <row r="75" spans="1:3" x14ac:dyDescent="0.3">
      <c r="A75" s="522" t="s">
        <v>4</v>
      </c>
      <c r="B75" s="523"/>
      <c r="C75" s="4" t="e">
        <f>SUM(C60:C74)</f>
        <v>#REF!</v>
      </c>
    </row>
    <row r="77" spans="1:3" x14ac:dyDescent="0.3">
      <c r="A77" s="3" t="s">
        <v>3</v>
      </c>
      <c r="B77" s="2">
        <v>7.0000000000000007E-2</v>
      </c>
    </row>
    <row r="83" spans="1:4" s="8" customFormat="1" x14ac:dyDescent="0.3">
      <c r="A83" s="1"/>
      <c r="B83" s="1"/>
      <c r="C83" s="1"/>
      <c r="D83" s="1"/>
    </row>
    <row r="86" spans="1:4" s="8" customFormat="1" x14ac:dyDescent="0.3">
      <c r="A86" s="1"/>
      <c r="B86" s="1"/>
      <c r="C86" s="1"/>
      <c r="D86" s="1"/>
    </row>
  </sheetData>
  <mergeCells count="51">
    <mergeCell ref="A1:C1"/>
    <mergeCell ref="A27:D27"/>
    <mergeCell ref="A28:D28"/>
    <mergeCell ref="A29:D29"/>
    <mergeCell ref="A30:D30"/>
    <mergeCell ref="A17:D17"/>
    <mergeCell ref="A19:D19"/>
    <mergeCell ref="A20:D20"/>
    <mergeCell ref="A21:D21"/>
    <mergeCell ref="A22:D22"/>
    <mergeCell ref="C11:D11"/>
    <mergeCell ref="C12:D12"/>
    <mergeCell ref="C13:D13"/>
    <mergeCell ref="C14:D14"/>
    <mergeCell ref="A18:D18"/>
    <mergeCell ref="A31:D31"/>
    <mergeCell ref="A23:D23"/>
    <mergeCell ref="A24:D24"/>
    <mergeCell ref="A25:D25"/>
    <mergeCell ref="A26:D26"/>
    <mergeCell ref="A32:D32"/>
    <mergeCell ref="A33:D33"/>
    <mergeCell ref="A34:D34"/>
    <mergeCell ref="A35:C35"/>
    <mergeCell ref="A36:C36"/>
    <mergeCell ref="A37:C37"/>
    <mergeCell ref="A39:C39"/>
    <mergeCell ref="A40:C40"/>
    <mergeCell ref="A41:C41"/>
    <mergeCell ref="A42:C42"/>
    <mergeCell ref="A43:C43"/>
    <mergeCell ref="A44:C44"/>
    <mergeCell ref="A46:C46"/>
    <mergeCell ref="A47:C47"/>
    <mergeCell ref="A48:C48"/>
    <mergeCell ref="A58:C58"/>
    <mergeCell ref="A75:B75"/>
    <mergeCell ref="A3:D3"/>
    <mergeCell ref="B4:D4"/>
    <mergeCell ref="B5:D5"/>
    <mergeCell ref="B6:D6"/>
    <mergeCell ref="B7:D7"/>
    <mergeCell ref="B8:D8"/>
    <mergeCell ref="A10:D10"/>
    <mergeCell ref="B15:D15"/>
    <mergeCell ref="A51:C51"/>
    <mergeCell ref="A52:C52"/>
    <mergeCell ref="A53:C53"/>
    <mergeCell ref="A55:C55"/>
    <mergeCell ref="A56:C56"/>
    <mergeCell ref="A49:C49"/>
  </mergeCells>
  <phoneticPr fontId="64" type="noConversion"/>
  <conditionalFormatting sqref="D48 D43">
    <cfRule type="cellIs" dxfId="19" priority="4" operator="lessThan">
      <formula>0</formula>
    </cfRule>
  </conditionalFormatting>
  <conditionalFormatting sqref="D52">
    <cfRule type="cellIs" dxfId="18" priority="1" operator="lessThan">
      <formula>0</formula>
    </cfRule>
  </conditionalFormatting>
  <pageMargins left="0.7" right="0.7" top="0.75" bottom="0.75" header="0.3" footer="0.3"/>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A1:R8"/>
  <sheetViews>
    <sheetView view="pageBreakPreview" zoomScale="60" workbookViewId="0">
      <selection activeCell="A2" sqref="A2"/>
    </sheetView>
  </sheetViews>
  <sheetFormatPr defaultColWidth="9.140625" defaultRowHeight="15" x14ac:dyDescent="0.3"/>
  <cols>
    <col min="1" max="1" width="4.7109375" style="28" customWidth="1"/>
    <col min="2" max="2" width="11.140625" style="28" bestFit="1" customWidth="1"/>
    <col min="3" max="8" width="14.42578125" style="26" customWidth="1"/>
    <col min="9" max="9" width="15.7109375" style="26" customWidth="1"/>
    <col min="10" max="10" width="15.42578125" style="26" customWidth="1"/>
    <col min="11" max="11" width="16.42578125" style="26" customWidth="1"/>
    <col min="12" max="12" width="17.42578125" style="26" customWidth="1"/>
    <col min="13" max="13" width="9.140625" style="26"/>
    <col min="14" max="14" width="13.42578125" style="27" bestFit="1" customWidth="1"/>
    <col min="15" max="15" width="11.42578125" style="27" bestFit="1" customWidth="1"/>
    <col min="16" max="16" width="9.140625" style="27"/>
    <col min="17" max="18" width="10.28515625" style="27" bestFit="1" customWidth="1"/>
    <col min="19" max="16384" width="9.140625" style="26"/>
  </cols>
  <sheetData>
    <row r="1" spans="1:18" ht="18.75" x14ac:dyDescent="0.3">
      <c r="A1" s="557" t="s">
        <v>75</v>
      </c>
      <c r="B1" s="557"/>
      <c r="C1" s="557"/>
      <c r="D1" s="557"/>
      <c r="E1" s="557"/>
      <c r="F1" s="557"/>
      <c r="G1" s="557"/>
      <c r="H1" s="557"/>
      <c r="I1" s="557"/>
      <c r="J1" s="557"/>
      <c r="K1" s="557"/>
      <c r="L1" s="557"/>
    </row>
    <row r="2" spans="1:18" x14ac:dyDescent="0.3">
      <c r="N2" s="27" t="s">
        <v>40</v>
      </c>
      <c r="O2" s="27" t="s">
        <v>40</v>
      </c>
      <c r="P2" s="27" t="s">
        <v>40</v>
      </c>
      <c r="Q2" s="27" t="s">
        <v>40</v>
      </c>
      <c r="R2" s="27" t="s">
        <v>40</v>
      </c>
    </row>
    <row r="3" spans="1:18" ht="27" customHeight="1" x14ac:dyDescent="0.3">
      <c r="C3" s="558" t="s">
        <v>39</v>
      </c>
      <c r="D3" s="558"/>
      <c r="E3" s="558"/>
      <c r="F3" s="558" t="s">
        <v>38</v>
      </c>
      <c r="G3" s="558"/>
      <c r="H3" s="558"/>
      <c r="I3" s="560" t="s">
        <v>83</v>
      </c>
      <c r="J3" s="561"/>
      <c r="K3" s="559" t="s">
        <v>37</v>
      </c>
      <c r="L3" s="559" t="s">
        <v>36</v>
      </c>
      <c r="N3" s="43">
        <v>42</v>
      </c>
      <c r="O3" s="27">
        <v>43</v>
      </c>
      <c r="P3" s="27">
        <v>46</v>
      </c>
      <c r="Q3" s="27">
        <v>47</v>
      </c>
      <c r="R3" s="27">
        <v>48</v>
      </c>
    </row>
    <row r="4" spans="1:18" s="38" customFormat="1" x14ac:dyDescent="0.3">
      <c r="A4" s="42" t="s">
        <v>35</v>
      </c>
      <c r="B4" s="41" t="s">
        <v>34</v>
      </c>
      <c r="C4" s="40" t="s">
        <v>23</v>
      </c>
      <c r="D4" s="40" t="s">
        <v>21</v>
      </c>
      <c r="E4" s="40" t="s">
        <v>33</v>
      </c>
      <c r="F4" s="40" t="s">
        <v>23</v>
      </c>
      <c r="G4" s="40" t="s">
        <v>33</v>
      </c>
      <c r="H4" s="40" t="s">
        <v>21</v>
      </c>
      <c r="I4" s="40" t="s">
        <v>33</v>
      </c>
      <c r="J4" s="40" t="s">
        <v>21</v>
      </c>
      <c r="K4" s="559"/>
      <c r="L4" s="559"/>
      <c r="N4" s="39"/>
      <c r="O4" s="39"/>
      <c r="P4" s="39"/>
      <c r="Q4" s="39"/>
      <c r="R4" s="39"/>
    </row>
    <row r="5" spans="1:18" ht="15.75" x14ac:dyDescent="0.3">
      <c r="A5" s="3">
        <v>1</v>
      </c>
      <c r="B5" s="37" t="s">
        <v>32</v>
      </c>
      <c r="C5" s="35" t="e">
        <f>#REF!</f>
        <v>#REF!</v>
      </c>
      <c r="D5" s="33" t="e">
        <f>+#REF!</f>
        <v>#REF!</v>
      </c>
      <c r="E5" s="36" t="e">
        <f>#REF!</f>
        <v>#REF!</v>
      </c>
      <c r="F5" s="35" t="e">
        <f>#REF!</f>
        <v>#REF!</v>
      </c>
      <c r="G5" s="34" t="e">
        <f>#REF!</f>
        <v>#REF!</v>
      </c>
      <c r="H5" s="33" t="e">
        <f>#REF!</f>
        <v>#REF!</v>
      </c>
      <c r="I5" s="34" t="e">
        <f>#REF!</f>
        <v>#REF!</v>
      </c>
      <c r="J5" s="33" t="e">
        <f>#REF!</f>
        <v>#REF!</v>
      </c>
      <c r="K5" s="33" t="e">
        <f>D5+H5+J5</f>
        <v>#REF!</v>
      </c>
      <c r="L5" s="33" t="e">
        <f>#REF!</f>
        <v>#REF!</v>
      </c>
      <c r="N5" s="27" t="str">
        <f>"'"&amp;B5&amp;"'"&amp;"!"&amp;N$2&amp;$N$3</f>
        <v>'OB1'!C42</v>
      </c>
      <c r="O5" s="27" t="str">
        <f>"'"&amp;B5&amp;"'"&amp;"!"&amp;O$2&amp;O$3</f>
        <v>'OB1'!C43</v>
      </c>
      <c r="P5" s="27" t="str">
        <f t="shared" ref="P5:R7" si="0">"'"&amp;$B5&amp;"'"&amp;"!"&amp;P$2&amp;P$3</f>
        <v>'OB1'!C46</v>
      </c>
      <c r="Q5" s="27" t="str">
        <f t="shared" si="0"/>
        <v>'OB1'!C47</v>
      </c>
      <c r="R5" s="27" t="str">
        <f t="shared" si="0"/>
        <v>'OB1'!C48</v>
      </c>
    </row>
    <row r="6" spans="1:18" ht="15.75" x14ac:dyDescent="0.3">
      <c r="A6" s="3">
        <v>2</v>
      </c>
      <c r="B6" s="37" t="s">
        <v>73</v>
      </c>
      <c r="C6" s="35" t="e">
        <f>#REF!</f>
        <v>#REF!</v>
      </c>
      <c r="D6" s="33" t="e">
        <f>+#REF!</f>
        <v>#REF!</v>
      </c>
      <c r="E6" s="36" t="e">
        <f>#REF!</f>
        <v>#REF!</v>
      </c>
      <c r="F6" s="35" t="e">
        <f>#REF!</f>
        <v>#REF!</v>
      </c>
      <c r="G6" s="34" t="e">
        <f>#REF!</f>
        <v>#REF!</v>
      </c>
      <c r="H6" s="33" t="e">
        <f>#REF!</f>
        <v>#REF!</v>
      </c>
      <c r="I6" s="34" t="e">
        <f>#REF!</f>
        <v>#REF!</v>
      </c>
      <c r="J6" s="33" t="e">
        <f>#REF!</f>
        <v>#REF!</v>
      </c>
      <c r="K6" s="33" t="e">
        <f>D6+H6+J6</f>
        <v>#REF!</v>
      </c>
      <c r="L6" s="33" t="e">
        <f>#REF!</f>
        <v>#REF!</v>
      </c>
      <c r="N6" s="27" t="str">
        <f>"'"&amp;B6&amp;"'"&amp;"!"&amp;N$2&amp;$N$3</f>
        <v>'OB2'!C42</v>
      </c>
      <c r="O6" s="27" t="str">
        <f>"'"&amp;B6&amp;"'"&amp;"!"&amp;O$2&amp;O$3</f>
        <v>'OB2'!C43</v>
      </c>
      <c r="P6" s="27" t="str">
        <f t="shared" si="0"/>
        <v>'OB2'!C46</v>
      </c>
      <c r="Q6" s="27" t="str">
        <f t="shared" si="0"/>
        <v>'OB2'!C47</v>
      </c>
      <c r="R6" s="27" t="str">
        <f t="shared" si="0"/>
        <v>'OB2'!C48</v>
      </c>
    </row>
    <row r="7" spans="1:18" ht="15.75" x14ac:dyDescent="0.3">
      <c r="A7" s="3">
        <v>3</v>
      </c>
      <c r="B7" s="37" t="s">
        <v>74</v>
      </c>
      <c r="C7" s="35">
        <f>'OB3'!$D$40</f>
        <v>0</v>
      </c>
      <c r="D7" s="33" t="e">
        <f>+'OB3'!$D$43</f>
        <v>#REF!</v>
      </c>
      <c r="E7" s="36" t="e">
        <f>'OB3'!$D$44</f>
        <v>#REF!</v>
      </c>
      <c r="F7" s="35">
        <f>'OB3'!$D$47</f>
        <v>0</v>
      </c>
      <c r="G7" s="34">
        <f>'OB3'!$D$48</f>
        <v>0</v>
      </c>
      <c r="H7" s="33">
        <f>'OB3'!$D$49</f>
        <v>0</v>
      </c>
      <c r="I7" s="34">
        <f>'OB3'!$D$52</f>
        <v>0</v>
      </c>
      <c r="J7" s="33">
        <f>'OB3'!$D$53</f>
        <v>0</v>
      </c>
      <c r="K7" s="33" t="e">
        <f>D7+H7+J7</f>
        <v>#REF!</v>
      </c>
      <c r="L7" s="33" t="e">
        <f>'OB3'!$D$56</f>
        <v>#REF!</v>
      </c>
      <c r="N7" s="27" t="str">
        <f>"'"&amp;B7&amp;"'"&amp;"!"&amp;N$2&amp;$N$3</f>
        <v>'OB3'!C42</v>
      </c>
      <c r="O7" s="27" t="str">
        <f>"'"&amp;B7&amp;"'"&amp;"!"&amp;O$2&amp;O$3</f>
        <v>'OB3'!C43</v>
      </c>
      <c r="P7" s="27" t="str">
        <f t="shared" si="0"/>
        <v>'OB3'!C46</v>
      </c>
      <c r="Q7" s="27" t="str">
        <f t="shared" si="0"/>
        <v>'OB3'!C47</v>
      </c>
      <c r="R7" s="27" t="str">
        <f t="shared" si="0"/>
        <v>'OB3'!C48</v>
      </c>
    </row>
    <row r="8" spans="1:18" x14ac:dyDescent="0.3">
      <c r="A8" s="556" t="s">
        <v>5</v>
      </c>
      <c r="B8" s="556"/>
      <c r="C8" s="31" t="e">
        <f>SUM(C5:C7)</f>
        <v>#REF!</v>
      </c>
      <c r="D8" s="29" t="e">
        <f>SUM(D5:D7)</f>
        <v>#REF!</v>
      </c>
      <c r="E8" s="32" t="e">
        <f>AVERAGE(E5:E7)</f>
        <v>#REF!</v>
      </c>
      <c r="F8" s="31" t="e">
        <f>SUM(F5:F7)</f>
        <v>#REF!</v>
      </c>
      <c r="G8" s="30" t="e">
        <f>AVERAGE(G5:G7)</f>
        <v>#REF!</v>
      </c>
      <c r="H8" s="29" t="e">
        <f>SUM(H5:H7)</f>
        <v>#REF!</v>
      </c>
      <c r="I8" s="59" t="e">
        <f>AVERAGE(I5:I7)</f>
        <v>#REF!</v>
      </c>
      <c r="J8" s="29" t="e">
        <f>SUM(J5:J7)</f>
        <v>#REF!</v>
      </c>
      <c r="K8" s="29" t="e">
        <f>SUM(K5:K7)</f>
        <v>#REF!</v>
      </c>
      <c r="L8" s="29" t="e">
        <f>SUM(L5:L7)</f>
        <v>#REF!</v>
      </c>
    </row>
  </sheetData>
  <mergeCells count="7">
    <mergeCell ref="A8:B8"/>
    <mergeCell ref="A1:L1"/>
    <mergeCell ref="C3:E3"/>
    <mergeCell ref="F3:H3"/>
    <mergeCell ref="K3:K4"/>
    <mergeCell ref="L3:L4"/>
    <mergeCell ref="I3:J3"/>
  </mergeCells>
  <phoneticPr fontId="64" type="noConversion"/>
  <pageMargins left="0.7" right="0.7" top="0.75" bottom="0.75" header="0.3" footer="0.3"/>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G111"/>
  <sheetViews>
    <sheetView tabSelected="1" zoomScale="110" zoomScaleNormal="110" zoomScaleSheetLayoutView="110" zoomScalePageLayoutView="110" workbookViewId="0">
      <selection activeCell="F17" sqref="F17"/>
    </sheetView>
  </sheetViews>
  <sheetFormatPr defaultColWidth="9.140625" defaultRowHeight="12.75" x14ac:dyDescent="0.2"/>
  <cols>
    <col min="1" max="1" width="48.28515625" style="74" customWidth="1"/>
    <col min="2" max="2" width="23.7109375" style="74" customWidth="1"/>
    <col min="3" max="3" width="20.85546875" style="74" customWidth="1"/>
    <col min="4" max="4" width="28" style="74" customWidth="1"/>
    <col min="5" max="5" width="21" style="74" customWidth="1"/>
    <col min="6" max="6" width="9.140625" style="74"/>
    <col min="7" max="7" width="14.5703125" style="74" customWidth="1"/>
    <col min="8" max="16384" width="9.140625" style="74"/>
  </cols>
  <sheetData>
    <row r="1" spans="1:7" ht="18.75" x14ac:dyDescent="0.3">
      <c r="A1" s="582" t="s">
        <v>2</v>
      </c>
      <c r="B1" s="582"/>
      <c r="E1" s="75"/>
    </row>
    <row r="2" spans="1:7" ht="13.5" thickBot="1" x14ac:dyDescent="0.25">
      <c r="C2" s="76"/>
      <c r="E2" s="75"/>
    </row>
    <row r="3" spans="1:7" x14ac:dyDescent="0.2">
      <c r="A3" s="579" t="s">
        <v>31</v>
      </c>
      <c r="B3" s="580"/>
      <c r="C3" s="581"/>
    </row>
    <row r="4" spans="1:7" ht="33" customHeight="1" x14ac:dyDescent="0.2">
      <c r="A4" s="77" t="s">
        <v>30</v>
      </c>
      <c r="B4" s="583" t="str">
        <f ca="1">VLOOKUP($B$6,'Referenčne količine'!$B$3:$AM$4,2,)</f>
        <v>Osnovna šola Kobilje</v>
      </c>
      <c r="C4" s="584"/>
    </row>
    <row r="5" spans="1:7" x14ac:dyDescent="0.2">
      <c r="A5" s="77" t="s">
        <v>29</v>
      </c>
      <c r="B5" s="585" t="str">
        <f ca="1">VLOOKUP($B$6,'Referenčne količine'!$B$3:$AM$7,3,)</f>
        <v>Kobilje 33A</v>
      </c>
      <c r="C5" s="586"/>
    </row>
    <row r="6" spans="1:7" x14ac:dyDescent="0.2">
      <c r="A6" s="77" t="s">
        <v>28</v>
      </c>
      <c r="B6" s="585" t="str">
        <f ca="1">RIGHT(CELL("filename",A1),4)</f>
        <v>OB01</v>
      </c>
      <c r="C6" s="586"/>
    </row>
    <row r="7" spans="1:7" x14ac:dyDescent="0.2">
      <c r="A7" s="77" t="s">
        <v>27</v>
      </c>
      <c r="B7" s="585">
        <f ca="1">VLOOKUP($B$6,'Referenčne količine'!$B$3:$AM$7,6,)</f>
        <v>1388.4</v>
      </c>
      <c r="C7" s="586"/>
      <c r="F7" s="78"/>
      <c r="G7" s="78"/>
    </row>
    <row r="8" spans="1:7" ht="13.5" thickBot="1" x14ac:dyDescent="0.25">
      <c r="A8" s="79" t="s">
        <v>26</v>
      </c>
      <c r="B8" s="587" t="str">
        <f ca="1">VLOOKUP($B$6,'Referenčne količine'!$B$3:$AM$7,15,)</f>
        <v>UNP</v>
      </c>
      <c r="C8" s="588"/>
    </row>
    <row r="9" spans="1:7" ht="13.5" thickBot="1" x14ac:dyDescent="0.25"/>
    <row r="10" spans="1:7" x14ac:dyDescent="0.2">
      <c r="A10" s="589" t="s">
        <v>259</v>
      </c>
      <c r="B10" s="590"/>
      <c r="C10" s="591"/>
    </row>
    <row r="11" spans="1:7" ht="26.25" thickBot="1" x14ac:dyDescent="0.25">
      <c r="A11" s="80" t="s">
        <v>127</v>
      </c>
      <c r="B11" s="70" t="s">
        <v>120</v>
      </c>
      <c r="C11" s="81" t="s">
        <v>128</v>
      </c>
    </row>
    <row r="12" spans="1:7" x14ac:dyDescent="0.2">
      <c r="A12" s="68" t="s">
        <v>330</v>
      </c>
      <c r="B12" s="82">
        <f ca="1">VLOOKUP($B$6,'Referenčne količine'!$B$3:$AM$7,20,)</f>
        <v>145660.40000000002</v>
      </c>
      <c r="C12" s="82">
        <f ca="1">VLOOKUP($B$6,'Referenčne količine'!$B$3:$AM$7,23,)</f>
        <v>145660.40000000002</v>
      </c>
      <c r="E12" s="83"/>
      <c r="F12" s="83"/>
      <c r="G12" s="83"/>
    </row>
    <row r="13" spans="1:7" x14ac:dyDescent="0.2">
      <c r="A13" s="69" t="s">
        <v>308</v>
      </c>
      <c r="B13" s="85"/>
      <c r="C13" s="85">
        <f ca="1">VLOOKUP($B$6,'Referenčne količine'!$B$3:$AM$7,25,)</f>
        <v>145660.40000000002</v>
      </c>
      <c r="E13" s="78"/>
      <c r="F13" s="78"/>
      <c r="G13" s="78"/>
    </row>
    <row r="14" spans="1:7" x14ac:dyDescent="0.2">
      <c r="A14" s="393" t="s">
        <v>309</v>
      </c>
      <c r="B14" s="85"/>
      <c r="C14" s="85">
        <f ca="1">VLOOKUP($B$6,'Referenčne količine'!$B$3:$AM$7,26,)</f>
        <v>0</v>
      </c>
      <c r="E14" s="78"/>
      <c r="F14" s="78"/>
      <c r="G14" s="78"/>
    </row>
    <row r="15" spans="1:7" x14ac:dyDescent="0.2">
      <c r="A15" s="69" t="s">
        <v>310</v>
      </c>
      <c r="B15" s="85"/>
      <c r="C15" s="85">
        <f ca="1">VLOOKUP($B$6,'Referenčne količine'!$B$3:$AM$7,27,)</f>
        <v>0</v>
      </c>
      <c r="E15" s="83"/>
      <c r="F15" s="83"/>
      <c r="G15" s="83"/>
    </row>
    <row r="16" spans="1:7" x14ac:dyDescent="0.2">
      <c r="A16" s="69" t="s">
        <v>118</v>
      </c>
      <c r="B16" s="408">
        <f ca="1">VLOOKUP($B$6,'Referenčne količine'!$B$3:$AM$7,19,)</f>
        <v>21216.952128160003</v>
      </c>
      <c r="C16" s="408">
        <f ca="1">VLOOKUP($B$6,'Referenčne količine'!$B$3:$AM$7,19,)</f>
        <v>21216.952128160003</v>
      </c>
      <c r="E16" s="83"/>
      <c r="F16" s="83"/>
      <c r="G16" s="83"/>
    </row>
    <row r="17" spans="1:7" ht="13.5" thickBot="1" x14ac:dyDescent="0.25">
      <c r="A17" s="438" t="s">
        <v>311</v>
      </c>
      <c r="B17" s="87">
        <f ca="1">VLOOKUP($B$6,'Referenčne količine'!$B$3:$AM$7,21,)/1000</f>
        <v>0.14566040000000002</v>
      </c>
      <c r="C17" s="87">
        <f ca="1">VLOOKUP($B$6,'Referenčne količine'!$B$3:$AM$7,21,)/1000</f>
        <v>0.14566040000000002</v>
      </c>
      <c r="E17" s="83"/>
      <c r="F17" s="83"/>
      <c r="G17" s="83"/>
    </row>
    <row r="18" spans="1:7" x14ac:dyDescent="0.2">
      <c r="A18" s="68" t="s">
        <v>121</v>
      </c>
      <c r="B18" s="82">
        <f ca="1">VLOOKUP($B$6,'Referenčne količine'!$B$3:$AM$7,28,)</f>
        <v>31033</v>
      </c>
      <c r="C18" s="82">
        <f ca="1">VLOOKUP($B$6,'Referenčne količine'!$B$3:$AM$7,32)</f>
        <v>31033</v>
      </c>
      <c r="E18" s="83"/>
      <c r="F18" s="83"/>
      <c r="G18" s="83"/>
    </row>
    <row r="19" spans="1:7" x14ac:dyDescent="0.2">
      <c r="A19" s="71" t="s">
        <v>122</v>
      </c>
      <c r="B19" s="85"/>
      <c r="C19" s="84">
        <f ca="1">VLOOKUP($B$6,'Referenčne količine'!$B$3:$AM$7,34,)</f>
        <v>0</v>
      </c>
      <c r="E19" s="83"/>
      <c r="F19" s="83"/>
      <c r="G19" s="83"/>
    </row>
    <row r="20" spans="1:7" x14ac:dyDescent="0.2">
      <c r="A20" s="71" t="s">
        <v>123</v>
      </c>
      <c r="B20" s="84"/>
      <c r="C20" s="84">
        <f ca="1">VLOOKUP($B$6,'Referenčne količine'!$B$3:$AM$7,35,)</f>
        <v>0</v>
      </c>
      <c r="E20" s="83"/>
      <c r="F20" s="83"/>
      <c r="G20" s="83"/>
    </row>
    <row r="21" spans="1:7" x14ac:dyDescent="0.2">
      <c r="A21" s="72" t="s">
        <v>124</v>
      </c>
      <c r="B21" s="88">
        <f ca="1">VLOOKUP($B$6,'Referenčne količine'!$B$3:$AM$7,29,)</f>
        <v>4522.0670464149071</v>
      </c>
      <c r="C21" s="86">
        <f ca="1">VLOOKUP($B$6,'Referenčne količine'!$B$3:$AM$7,33,)</f>
        <v>4522.0670464149071</v>
      </c>
      <c r="D21" s="273"/>
      <c r="E21" s="83"/>
      <c r="F21" s="83"/>
      <c r="G21" s="83"/>
    </row>
    <row r="22" spans="1:7" ht="13.5" thickBot="1" x14ac:dyDescent="0.25">
      <c r="A22" s="73" t="s">
        <v>125</v>
      </c>
      <c r="B22" s="363">
        <f ca="1">VLOOKUP($B$6,'Referenčne količine'!$B$3:$AM$7,30,)</f>
        <v>0.14571801135613402</v>
      </c>
      <c r="C22" s="363">
        <f ca="1">VLOOKUP($B$6,'Referenčne količine'!$B$3:$AM$7,30,)</f>
        <v>0.14571801135613402</v>
      </c>
      <c r="E22" s="83"/>
      <c r="F22" s="83"/>
      <c r="G22" s="83"/>
    </row>
    <row r="23" spans="1:7" ht="14.45" customHeight="1" thickBot="1" x14ac:dyDescent="0.25">
      <c r="A23" s="411" t="s">
        <v>126</v>
      </c>
      <c r="B23" s="412">
        <f ca="1">VLOOKUP($B$6,'Referenčne količine'!$B$3:$AM$7,37,)</f>
        <v>2429.7000000000003</v>
      </c>
      <c r="C23" s="413"/>
      <c r="E23" s="83"/>
      <c r="F23" s="83"/>
    </row>
    <row r="24" spans="1:7" ht="13.5" thickBot="1" x14ac:dyDescent="0.25">
      <c r="F24" s="397"/>
    </row>
    <row r="25" spans="1:7" x14ac:dyDescent="0.2">
      <c r="A25" s="579" t="s">
        <v>129</v>
      </c>
      <c r="B25" s="580"/>
      <c r="C25" s="581"/>
      <c r="F25" s="398"/>
    </row>
    <row r="26" spans="1:7" x14ac:dyDescent="0.2">
      <c r="A26" s="394"/>
      <c r="B26" s="395"/>
      <c r="C26" s="396"/>
      <c r="D26" s="89"/>
      <c r="F26" s="398"/>
    </row>
    <row r="27" spans="1:7" ht="13.35" customHeight="1" x14ac:dyDescent="0.2">
      <c r="A27" s="572"/>
      <c r="B27" s="573"/>
      <c r="C27" s="574"/>
      <c r="E27" s="89"/>
      <c r="F27" s="398"/>
    </row>
    <row r="28" spans="1:7" x14ac:dyDescent="0.2">
      <c r="A28" s="572"/>
      <c r="B28" s="573"/>
      <c r="C28" s="574"/>
      <c r="E28" s="89"/>
      <c r="F28" s="398"/>
    </row>
    <row r="29" spans="1:7" x14ac:dyDescent="0.2">
      <c r="A29" s="572"/>
      <c r="B29" s="573"/>
      <c r="C29" s="574"/>
      <c r="E29" s="89"/>
      <c r="F29" s="398"/>
    </row>
    <row r="30" spans="1:7" x14ac:dyDescent="0.2">
      <c r="A30" s="572"/>
      <c r="B30" s="573"/>
      <c r="C30" s="574"/>
      <c r="E30" s="89"/>
      <c r="F30" s="398"/>
    </row>
    <row r="31" spans="1:7" s="90" customFormat="1" x14ac:dyDescent="0.2">
      <c r="A31" s="572"/>
      <c r="B31" s="573"/>
      <c r="C31" s="574"/>
      <c r="E31" s="89"/>
      <c r="F31" s="398"/>
    </row>
    <row r="32" spans="1:7" x14ac:dyDescent="0.2">
      <c r="A32" s="572"/>
      <c r="B32" s="573"/>
      <c r="C32" s="574"/>
      <c r="E32" s="89"/>
      <c r="F32" s="398"/>
    </row>
    <row r="33" spans="1:6" x14ac:dyDescent="0.2">
      <c r="A33" s="572"/>
      <c r="B33" s="573"/>
      <c r="C33" s="574"/>
      <c r="E33" s="89"/>
      <c r="F33" s="398"/>
    </row>
    <row r="34" spans="1:6" s="90" customFormat="1" x14ac:dyDescent="0.2">
      <c r="A34" s="572"/>
      <c r="B34" s="573"/>
      <c r="C34" s="574"/>
      <c r="E34" s="89"/>
      <c r="F34" s="398"/>
    </row>
    <row r="35" spans="1:6" x14ac:dyDescent="0.2">
      <c r="A35" s="572"/>
      <c r="B35" s="573"/>
      <c r="C35" s="574"/>
      <c r="E35" s="89"/>
      <c r="F35" s="398"/>
    </row>
    <row r="36" spans="1:6" x14ac:dyDescent="0.2">
      <c r="A36" s="572"/>
      <c r="B36" s="573"/>
      <c r="C36" s="574"/>
      <c r="E36" s="89"/>
      <c r="F36" s="398"/>
    </row>
    <row r="37" spans="1:6" ht="13.35" customHeight="1" x14ac:dyDescent="0.2">
      <c r="A37" s="572"/>
      <c r="B37" s="573"/>
      <c r="C37" s="574"/>
      <c r="E37" s="89"/>
      <c r="F37" s="398"/>
    </row>
    <row r="38" spans="1:6" x14ac:dyDescent="0.2">
      <c r="A38" s="572"/>
      <c r="B38" s="573"/>
      <c r="C38" s="574"/>
      <c r="E38" s="89"/>
      <c r="F38" s="398"/>
    </row>
    <row r="39" spans="1:6" x14ac:dyDescent="0.2">
      <c r="A39" s="572"/>
      <c r="B39" s="573"/>
      <c r="C39" s="574"/>
      <c r="E39" s="89"/>
      <c r="F39" s="398"/>
    </row>
    <row r="40" spans="1:6" x14ac:dyDescent="0.2">
      <c r="A40" s="572"/>
      <c r="B40" s="573"/>
      <c r="C40" s="574"/>
      <c r="E40" s="89"/>
      <c r="F40" s="398"/>
    </row>
    <row r="41" spans="1:6" x14ac:dyDescent="0.2">
      <c r="A41" s="572"/>
      <c r="B41" s="573"/>
      <c r="C41" s="574"/>
      <c r="E41" s="89"/>
      <c r="F41" s="398"/>
    </row>
    <row r="42" spans="1:6" ht="15" customHeight="1" x14ac:dyDescent="0.2">
      <c r="A42" s="572"/>
      <c r="B42" s="573"/>
      <c r="C42" s="574"/>
      <c r="E42" s="89"/>
      <c r="F42" s="398"/>
    </row>
    <row r="43" spans="1:6" x14ac:dyDescent="0.2">
      <c r="A43" s="572"/>
      <c r="B43" s="573"/>
      <c r="C43" s="574"/>
      <c r="E43" s="89"/>
      <c r="F43" s="398"/>
    </row>
    <row r="44" spans="1:6" ht="13.5" thickBot="1" x14ac:dyDescent="0.25">
      <c r="A44" s="572"/>
      <c r="B44" s="573"/>
      <c r="C44" s="574"/>
      <c r="E44" s="89"/>
    </row>
    <row r="45" spans="1:6" x14ac:dyDescent="0.2">
      <c r="A45" s="575" t="s">
        <v>130</v>
      </c>
      <c r="B45" s="576"/>
      <c r="C45" s="452"/>
    </row>
    <row r="46" spans="1:6" x14ac:dyDescent="0.2">
      <c r="A46" s="563" t="s">
        <v>131</v>
      </c>
      <c r="B46" s="564"/>
      <c r="C46" s="448">
        <f>C45*0.22</f>
        <v>0</v>
      </c>
      <c r="D46" s="78"/>
    </row>
    <row r="47" spans="1:6" ht="13.5" thickBot="1" x14ac:dyDescent="0.25">
      <c r="A47" s="577" t="s">
        <v>132</v>
      </c>
      <c r="B47" s="578"/>
      <c r="C47" s="449">
        <f>C46+C45</f>
        <v>0</v>
      </c>
      <c r="D47" s="78"/>
    </row>
    <row r="48" spans="1:6" ht="13.5" thickBot="1" x14ac:dyDescent="0.25">
      <c r="A48" s="91"/>
      <c r="B48" s="91"/>
      <c r="C48" s="92"/>
      <c r="D48" s="78"/>
    </row>
    <row r="49" spans="1:7" x14ac:dyDescent="0.2">
      <c r="A49" s="579" t="s">
        <v>260</v>
      </c>
      <c r="B49" s="580"/>
      <c r="C49" s="581"/>
      <c r="D49" s="78"/>
    </row>
    <row r="50" spans="1:7" x14ac:dyDescent="0.2">
      <c r="A50" s="446" t="s">
        <v>312</v>
      </c>
      <c r="B50" s="447" t="str">
        <f ca="1">B101</f>
        <v>UNP</v>
      </c>
      <c r="C50" s="474">
        <f>C101</f>
        <v>0</v>
      </c>
      <c r="D50" s="74" t="s">
        <v>344</v>
      </c>
      <c r="E50" s="437"/>
      <c r="G50" s="437"/>
    </row>
    <row r="51" spans="1:7" x14ac:dyDescent="0.2">
      <c r="A51" s="446" t="s">
        <v>319</v>
      </c>
      <c r="B51" s="447" t="str">
        <f>B102</f>
        <v>EE za TČ</v>
      </c>
      <c r="C51" s="474">
        <f t="shared" ref="C51:C52" si="0">C102</f>
        <v>0</v>
      </c>
      <c r="D51" s="74" t="s">
        <v>359</v>
      </c>
      <c r="E51" s="437"/>
      <c r="G51" s="437"/>
    </row>
    <row r="52" spans="1:7" x14ac:dyDescent="0.2">
      <c r="A52" s="446" t="s">
        <v>339</v>
      </c>
      <c r="B52" s="447" t="s">
        <v>331</v>
      </c>
      <c r="C52" s="474">
        <f t="shared" si="0"/>
        <v>0</v>
      </c>
      <c r="E52" s="437"/>
      <c r="G52" s="437"/>
    </row>
    <row r="53" spans="1:7" ht="15" x14ac:dyDescent="0.2">
      <c r="A53" s="570" t="s">
        <v>320</v>
      </c>
      <c r="B53" s="571"/>
      <c r="C53" s="439">
        <f ca="1">B17</f>
        <v>0.14566040000000002</v>
      </c>
      <c r="D53" s="457"/>
      <c r="E53" s="437"/>
      <c r="G53" s="437"/>
    </row>
    <row r="54" spans="1:7" x14ac:dyDescent="0.2">
      <c r="A54" s="570" t="s">
        <v>321</v>
      </c>
      <c r="B54" s="571"/>
      <c r="C54" s="439">
        <f ca="1">B22</f>
        <v>0.14571801135613402</v>
      </c>
      <c r="E54" s="437"/>
      <c r="G54" s="437"/>
    </row>
    <row r="55" spans="1:7" x14ac:dyDescent="0.2">
      <c r="A55" s="570" t="s">
        <v>337</v>
      </c>
      <c r="B55" s="571"/>
      <c r="C55" s="460"/>
      <c r="E55" s="437"/>
      <c r="G55" s="437"/>
    </row>
    <row r="56" spans="1:7" x14ac:dyDescent="0.2">
      <c r="A56" s="563" t="s">
        <v>324</v>
      </c>
      <c r="B56" s="564"/>
      <c r="C56" s="440">
        <f ca="1">C12-C50</f>
        <v>145660.40000000002</v>
      </c>
      <c r="D56" s="93"/>
      <c r="E56" s="437"/>
      <c r="G56" s="437"/>
    </row>
    <row r="57" spans="1:7" x14ac:dyDescent="0.2">
      <c r="A57" s="563" t="s">
        <v>325</v>
      </c>
      <c r="B57" s="564"/>
      <c r="C57" s="441">
        <f>(-1)*C51</f>
        <v>0</v>
      </c>
      <c r="D57" s="93"/>
      <c r="E57" s="437"/>
      <c r="G57" s="437"/>
    </row>
    <row r="58" spans="1:7" x14ac:dyDescent="0.2">
      <c r="A58" s="563" t="s">
        <v>338</v>
      </c>
      <c r="B58" s="564"/>
      <c r="C58" s="441">
        <f>(-1)*C52</f>
        <v>0</v>
      </c>
      <c r="D58" s="93"/>
      <c r="E58" s="437"/>
      <c r="G58" s="437"/>
    </row>
    <row r="59" spans="1:7" x14ac:dyDescent="0.2">
      <c r="A59" s="570" t="s">
        <v>326</v>
      </c>
      <c r="B59" s="571"/>
      <c r="C59" s="442">
        <f ca="1">C50*C53+C51*C54+C52*C55</f>
        <v>0</v>
      </c>
      <c r="D59" s="74" t="s">
        <v>340</v>
      </c>
      <c r="E59" s="437"/>
      <c r="G59" s="437"/>
    </row>
    <row r="60" spans="1:7" x14ac:dyDescent="0.2">
      <c r="A60" s="399" t="s">
        <v>332</v>
      </c>
      <c r="B60" s="400"/>
      <c r="C60" s="443">
        <f ca="1">C16-C59</f>
        <v>21216.952128160003</v>
      </c>
      <c r="E60" s="437"/>
      <c r="G60" s="437"/>
    </row>
    <row r="61" spans="1:7" x14ac:dyDescent="0.2">
      <c r="A61" s="399" t="s">
        <v>333</v>
      </c>
      <c r="B61" s="400"/>
      <c r="C61" s="444">
        <f ca="1">1-C59/C16</f>
        <v>1</v>
      </c>
      <c r="E61" s="437"/>
      <c r="G61" s="437"/>
    </row>
    <row r="62" spans="1:7" x14ac:dyDescent="0.2">
      <c r="A62" s="94"/>
      <c r="C62" s="95"/>
      <c r="E62" s="437"/>
      <c r="G62" s="437"/>
    </row>
    <row r="63" spans="1:7" x14ac:dyDescent="0.2">
      <c r="A63" s="563" t="s">
        <v>327</v>
      </c>
      <c r="B63" s="564"/>
      <c r="C63" s="96"/>
      <c r="D63" s="74" t="s">
        <v>335</v>
      </c>
      <c r="E63" s="437"/>
      <c r="G63" s="437"/>
    </row>
    <row r="64" spans="1:7" x14ac:dyDescent="0.2">
      <c r="A64" s="563" t="s">
        <v>133</v>
      </c>
      <c r="B64" s="564"/>
      <c r="C64" s="439">
        <f ca="1">B22</f>
        <v>0.14571801135613402</v>
      </c>
      <c r="E64" s="437"/>
      <c r="G64" s="437"/>
    </row>
    <row r="65" spans="1:7" x14ac:dyDescent="0.2">
      <c r="A65" s="563" t="s">
        <v>134</v>
      </c>
      <c r="B65" s="564"/>
      <c r="C65" s="440">
        <f ca="1">C18-C63</f>
        <v>31033</v>
      </c>
      <c r="D65" s="274"/>
      <c r="E65" s="437"/>
      <c r="G65" s="437"/>
    </row>
    <row r="66" spans="1:7" x14ac:dyDescent="0.2">
      <c r="A66" s="563" t="s">
        <v>135</v>
      </c>
      <c r="B66" s="564"/>
      <c r="C66" s="442">
        <f ca="1">C63*C64</f>
        <v>0</v>
      </c>
      <c r="E66" s="437"/>
      <c r="G66" s="437"/>
    </row>
    <row r="67" spans="1:7" x14ac:dyDescent="0.2">
      <c r="A67" s="401" t="s">
        <v>334</v>
      </c>
      <c r="B67" s="402"/>
      <c r="C67" s="443">
        <f ca="1">C21-C66</f>
        <v>4522.0670464149071</v>
      </c>
      <c r="E67" s="437"/>
      <c r="G67" s="437"/>
    </row>
    <row r="68" spans="1:7" x14ac:dyDescent="0.2">
      <c r="A68" s="563" t="s">
        <v>12</v>
      </c>
      <c r="B68" s="564"/>
      <c r="C68" s="444">
        <f ca="1">C65/C18</f>
        <v>1</v>
      </c>
      <c r="E68" s="437"/>
      <c r="G68" s="437"/>
    </row>
    <row r="69" spans="1:7" x14ac:dyDescent="0.2">
      <c r="A69" s="94"/>
      <c r="C69" s="95"/>
      <c r="E69" s="437"/>
      <c r="G69" s="437"/>
    </row>
    <row r="70" spans="1:7" x14ac:dyDescent="0.2">
      <c r="A70" s="563" t="s">
        <v>136</v>
      </c>
      <c r="B70" s="564"/>
      <c r="C70" s="97"/>
      <c r="E70" s="437"/>
      <c r="G70" s="437"/>
    </row>
    <row r="71" spans="1:7" ht="15" x14ac:dyDescent="0.3">
      <c r="A71" s="563" t="s">
        <v>138</v>
      </c>
      <c r="B71" s="564"/>
      <c r="C71" s="450">
        <f ca="1">1-C70/B23</f>
        <v>1</v>
      </c>
      <c r="E71" s="437"/>
      <c r="G71" s="437"/>
    </row>
    <row r="72" spans="1:7" ht="15.75" thickBot="1" x14ac:dyDescent="0.35">
      <c r="A72" s="471" t="s">
        <v>137</v>
      </c>
      <c r="B72" s="472"/>
      <c r="C72" s="451">
        <f ca="1">B23-C70</f>
        <v>2429.7000000000003</v>
      </c>
      <c r="E72" s="437"/>
      <c r="G72" s="437"/>
    </row>
    <row r="73" spans="1:7" ht="13.5" thickBot="1" x14ac:dyDescent="0.25">
      <c r="C73" s="90"/>
      <c r="E73" s="437"/>
      <c r="G73" s="437"/>
    </row>
    <row r="74" spans="1:7" ht="13.5" thickBot="1" x14ac:dyDescent="0.25">
      <c r="A74" s="565" t="s">
        <v>258</v>
      </c>
      <c r="B74" s="566"/>
      <c r="C74" s="98">
        <f ca="1">C60+C67+C72</f>
        <v>28168.719174574911</v>
      </c>
      <c r="E74" s="437"/>
      <c r="G74" s="437"/>
    </row>
    <row r="75" spans="1:7" ht="13.5" thickBot="1" x14ac:dyDescent="0.25">
      <c r="A75" s="567" t="s">
        <v>9</v>
      </c>
      <c r="B75" s="568"/>
      <c r="C75" s="99">
        <f ca="1">C94</f>
        <v>313190.73325086676</v>
      </c>
      <c r="E75" s="437"/>
      <c r="G75" s="437"/>
    </row>
    <row r="77" spans="1:7" x14ac:dyDescent="0.2">
      <c r="A77" s="569" t="s">
        <v>8</v>
      </c>
      <c r="B77" s="569"/>
      <c r="C77" s="569"/>
    </row>
    <row r="78" spans="1:7" x14ac:dyDescent="0.2">
      <c r="A78" s="100" t="s">
        <v>7</v>
      </c>
      <c r="B78" s="100" t="s">
        <v>6</v>
      </c>
      <c r="C78" s="100" t="s">
        <v>5</v>
      </c>
    </row>
    <row r="79" spans="1:7" x14ac:dyDescent="0.2">
      <c r="A79" s="101">
        <v>1</v>
      </c>
      <c r="B79" s="102">
        <f t="shared" ref="B79:B93" ca="1" si="1">$C$74</f>
        <v>28168.719174574911</v>
      </c>
      <c r="C79" s="103">
        <f t="shared" ref="C79:C93" ca="1" si="2">B79/(1+$B$96)^A79</f>
        <v>27085.306898629722</v>
      </c>
      <c r="E79" s="437"/>
      <c r="G79" s="437"/>
    </row>
    <row r="80" spans="1:7" x14ac:dyDescent="0.2">
      <c r="A80" s="101">
        <v>2</v>
      </c>
      <c r="B80" s="102">
        <f t="shared" ca="1" si="1"/>
        <v>28168.719174574911</v>
      </c>
      <c r="C80" s="103">
        <f t="shared" ca="1" si="2"/>
        <v>26043.564325605501</v>
      </c>
      <c r="E80" s="437"/>
      <c r="G80" s="437"/>
    </row>
    <row r="81" spans="1:7" x14ac:dyDescent="0.2">
      <c r="A81" s="101">
        <v>3</v>
      </c>
      <c r="B81" s="102">
        <f t="shared" ca="1" si="1"/>
        <v>28168.719174574911</v>
      </c>
      <c r="C81" s="103">
        <f t="shared" ca="1" si="2"/>
        <v>25041.888774620675</v>
      </c>
      <c r="E81" s="437"/>
      <c r="G81" s="437"/>
    </row>
    <row r="82" spans="1:7" x14ac:dyDescent="0.2">
      <c r="A82" s="101">
        <v>4</v>
      </c>
      <c r="B82" s="102">
        <f t="shared" ca="1" si="1"/>
        <v>28168.719174574911</v>
      </c>
      <c r="C82" s="103">
        <f t="shared" ca="1" si="2"/>
        <v>24078.73920636603</v>
      </c>
      <c r="E82" s="437"/>
      <c r="G82" s="437"/>
    </row>
    <row r="83" spans="1:7" x14ac:dyDescent="0.2">
      <c r="A83" s="101">
        <v>5</v>
      </c>
      <c r="B83" s="102">
        <f t="shared" ca="1" si="1"/>
        <v>28168.719174574911</v>
      </c>
      <c r="C83" s="103">
        <f t="shared" ca="1" si="2"/>
        <v>23152.633852275027</v>
      </c>
      <c r="E83" s="437"/>
      <c r="G83" s="437"/>
    </row>
    <row r="84" spans="1:7" x14ac:dyDescent="0.2">
      <c r="A84" s="101">
        <v>6</v>
      </c>
      <c r="B84" s="102">
        <f t="shared" ca="1" si="1"/>
        <v>28168.719174574911</v>
      </c>
      <c r="C84" s="103">
        <f t="shared" ca="1" si="2"/>
        <v>22262.147934879831</v>
      </c>
      <c r="E84" s="437"/>
      <c r="G84" s="437"/>
    </row>
    <row r="85" spans="1:7" x14ac:dyDescent="0.2">
      <c r="A85" s="101">
        <v>7</v>
      </c>
      <c r="B85" s="102">
        <f t="shared" ca="1" si="1"/>
        <v>28168.719174574911</v>
      </c>
      <c r="C85" s="103">
        <f t="shared" ca="1" si="2"/>
        <v>21405.911475845995</v>
      </c>
      <c r="E85" s="437"/>
      <c r="G85" s="437"/>
    </row>
    <row r="86" spans="1:7" x14ac:dyDescent="0.2">
      <c r="A86" s="101">
        <v>8</v>
      </c>
      <c r="B86" s="102">
        <f t="shared" ca="1" si="1"/>
        <v>28168.719174574911</v>
      </c>
      <c r="C86" s="103">
        <f t="shared" ca="1" si="2"/>
        <v>20582.607188313454</v>
      </c>
    </row>
    <row r="87" spans="1:7" x14ac:dyDescent="0.2">
      <c r="A87" s="101">
        <v>9</v>
      </c>
      <c r="B87" s="102">
        <f t="shared" ca="1" si="1"/>
        <v>28168.719174574911</v>
      </c>
      <c r="C87" s="103">
        <f t="shared" ca="1" si="2"/>
        <v>19790.968450301396</v>
      </c>
    </row>
    <row r="88" spans="1:7" x14ac:dyDescent="0.2">
      <c r="A88" s="101">
        <v>10</v>
      </c>
      <c r="B88" s="102">
        <f t="shared" ca="1" si="1"/>
        <v>28168.719174574911</v>
      </c>
      <c r="C88" s="103">
        <f t="shared" ca="1" si="2"/>
        <v>19029.777356059036</v>
      </c>
    </row>
    <row r="89" spans="1:7" x14ac:dyDescent="0.2">
      <c r="A89" s="101">
        <v>11</v>
      </c>
      <c r="B89" s="102">
        <f t="shared" ca="1" si="1"/>
        <v>28168.719174574911</v>
      </c>
      <c r="C89" s="103">
        <f t="shared" ca="1" si="2"/>
        <v>18297.862842364459</v>
      </c>
    </row>
    <row r="90" spans="1:7" x14ac:dyDescent="0.2">
      <c r="A90" s="101">
        <v>12</v>
      </c>
      <c r="B90" s="102">
        <f t="shared" ca="1" si="1"/>
        <v>28168.719174574911</v>
      </c>
      <c r="C90" s="103">
        <f t="shared" ca="1" si="2"/>
        <v>17594.098886888896</v>
      </c>
    </row>
    <row r="91" spans="1:7" x14ac:dyDescent="0.2">
      <c r="A91" s="101">
        <v>13</v>
      </c>
      <c r="B91" s="102">
        <f t="shared" ca="1" si="1"/>
        <v>28168.719174574911</v>
      </c>
      <c r="C91" s="103">
        <f t="shared" ca="1" si="2"/>
        <v>16917.402775854709</v>
      </c>
    </row>
    <row r="92" spans="1:7" x14ac:dyDescent="0.2">
      <c r="A92" s="101">
        <v>14</v>
      </c>
      <c r="B92" s="102">
        <f t="shared" ca="1" si="1"/>
        <v>28168.719174574911</v>
      </c>
      <c r="C92" s="103">
        <f t="shared" ca="1" si="2"/>
        <v>16266.733438321835</v>
      </c>
    </row>
    <row r="93" spans="1:7" x14ac:dyDescent="0.2">
      <c r="A93" s="101">
        <v>15</v>
      </c>
      <c r="B93" s="102">
        <f t="shared" ca="1" si="1"/>
        <v>28168.719174574911</v>
      </c>
      <c r="C93" s="103">
        <f t="shared" ca="1" si="2"/>
        <v>15641.089844540227</v>
      </c>
    </row>
    <row r="94" spans="1:7" x14ac:dyDescent="0.2">
      <c r="A94" s="562" t="s">
        <v>4</v>
      </c>
      <c r="B94" s="562"/>
      <c r="C94" s="104">
        <f ca="1">SUM(C79:C93)</f>
        <v>313190.73325086676</v>
      </c>
    </row>
    <row r="96" spans="1:7" x14ac:dyDescent="0.2">
      <c r="A96" s="105" t="s">
        <v>3</v>
      </c>
      <c r="B96" s="106">
        <v>0.04</v>
      </c>
    </row>
    <row r="98" spans="1:4" x14ac:dyDescent="0.2">
      <c r="A98" s="76" t="s">
        <v>139</v>
      </c>
    </row>
    <row r="100" spans="1:4" ht="43.5" customHeight="1" x14ac:dyDescent="0.2">
      <c r="A100" s="107"/>
      <c r="B100" s="107" t="s">
        <v>190</v>
      </c>
      <c r="C100" s="108" t="s">
        <v>181</v>
      </c>
    </row>
    <row r="101" spans="1:4" x14ac:dyDescent="0.2">
      <c r="A101" s="445" t="s">
        <v>313</v>
      </c>
      <c r="B101" s="464" t="str">
        <f ca="1">B8</f>
        <v>UNP</v>
      </c>
      <c r="C101" s="109"/>
    </row>
    <row r="102" spans="1:4" x14ac:dyDescent="0.2">
      <c r="A102" s="445" t="s">
        <v>314</v>
      </c>
      <c r="B102" s="74" t="s">
        <v>360</v>
      </c>
      <c r="C102" s="109"/>
      <c r="D102" s="435"/>
    </row>
    <row r="103" spans="1:4" x14ac:dyDescent="0.2">
      <c r="A103" s="445" t="s">
        <v>315</v>
      </c>
      <c r="B103" s="445"/>
      <c r="C103" s="109"/>
      <c r="D103" s="110"/>
    </row>
    <row r="104" spans="1:4" x14ac:dyDescent="0.2">
      <c r="A104" s="445" t="s">
        <v>316</v>
      </c>
      <c r="B104" s="445"/>
      <c r="C104" s="109"/>
      <c r="D104" s="110"/>
    </row>
    <row r="105" spans="1:4" x14ac:dyDescent="0.2">
      <c r="A105" s="445" t="s">
        <v>317</v>
      </c>
      <c r="B105" s="445"/>
      <c r="C105" s="109"/>
    </row>
    <row r="106" spans="1:4" x14ac:dyDescent="0.2">
      <c r="A106" s="445" t="s">
        <v>318</v>
      </c>
      <c r="B106" s="445"/>
      <c r="C106" s="109"/>
    </row>
    <row r="107" spans="1:4" x14ac:dyDescent="0.2">
      <c r="A107" s="107" t="s">
        <v>5</v>
      </c>
      <c r="B107" s="107" t="s">
        <v>5</v>
      </c>
      <c r="C107" s="335">
        <f>SUM(C101:C106)</f>
        <v>0</v>
      </c>
      <c r="D107" s="435"/>
    </row>
    <row r="109" spans="1:4" x14ac:dyDescent="0.2">
      <c r="A109" s="76"/>
      <c r="B109" s="462"/>
      <c r="C109" s="462"/>
    </row>
    <row r="110" spans="1:4" x14ac:dyDescent="0.2">
      <c r="B110" s="463"/>
      <c r="C110" s="463"/>
    </row>
    <row r="111" spans="1:4" x14ac:dyDescent="0.2">
      <c r="B111" s="463"/>
      <c r="C111" s="463"/>
    </row>
  </sheetData>
  <mergeCells count="49">
    <mergeCell ref="A29:C29"/>
    <mergeCell ref="A1:B1"/>
    <mergeCell ref="A3:C3"/>
    <mergeCell ref="B4:C4"/>
    <mergeCell ref="B5:C5"/>
    <mergeCell ref="B6:C6"/>
    <mergeCell ref="B7:C7"/>
    <mergeCell ref="B8:C8"/>
    <mergeCell ref="A10:C10"/>
    <mergeCell ref="A25:C25"/>
    <mergeCell ref="A27:C27"/>
    <mergeCell ref="A28:C28"/>
    <mergeCell ref="A41:C41"/>
    <mergeCell ref="A30:C30"/>
    <mergeCell ref="A31:C31"/>
    <mergeCell ref="A32:C32"/>
    <mergeCell ref="A33:C33"/>
    <mergeCell ref="A34:C34"/>
    <mergeCell ref="A35:C35"/>
    <mergeCell ref="A36:C36"/>
    <mergeCell ref="A37:C37"/>
    <mergeCell ref="A38:C38"/>
    <mergeCell ref="A39:C39"/>
    <mergeCell ref="A40:C40"/>
    <mergeCell ref="A59:B59"/>
    <mergeCell ref="A42:C42"/>
    <mergeCell ref="A43:C43"/>
    <mergeCell ref="A44:C44"/>
    <mergeCell ref="A45:B45"/>
    <mergeCell ref="A46:B46"/>
    <mergeCell ref="A47:B47"/>
    <mergeCell ref="A49:C49"/>
    <mergeCell ref="A53:B53"/>
    <mergeCell ref="A56:B56"/>
    <mergeCell ref="A57:B57"/>
    <mergeCell ref="A54:B54"/>
    <mergeCell ref="A55:B55"/>
    <mergeCell ref="A58:B58"/>
    <mergeCell ref="A94:B94"/>
    <mergeCell ref="A63:B63"/>
    <mergeCell ref="A64:B64"/>
    <mergeCell ref="A65:B65"/>
    <mergeCell ref="A66:B66"/>
    <mergeCell ref="A68:B68"/>
    <mergeCell ref="A70:B70"/>
    <mergeCell ref="A71:B71"/>
    <mergeCell ref="A74:B74"/>
    <mergeCell ref="A75:B75"/>
    <mergeCell ref="A77:C77"/>
  </mergeCells>
  <conditionalFormatting sqref="C71">
    <cfRule type="cellIs" dxfId="17" priority="1" operator="lessThan">
      <formula>0</formula>
    </cfRule>
  </conditionalFormatting>
  <pageMargins left="0.70866141732283472" right="0.70866141732283472" top="0.74803149606299213" bottom="0.74803149606299213" header="0.31496062992125984" footer="0.31496062992125984"/>
  <pageSetup paperSize="9" scale="52" orientation="portrait" r:id="rId1"/>
  <headerFooter>
    <oddFooter>&amp;L&amp;A&amp;R&amp;P/&amp;N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15</vt:i4>
      </vt:variant>
      <vt:variant>
        <vt:lpstr>Imenovani obsegi</vt:lpstr>
      </vt:variant>
      <vt:variant>
        <vt:i4>2</vt:i4>
      </vt:variant>
    </vt:vector>
  </HeadingPairs>
  <TitlesOfParts>
    <vt:vector size="17" baseType="lpstr">
      <vt:lpstr>PROGRAM IZVAJANJA</vt:lpstr>
      <vt:lpstr>Podatki o objektih</vt:lpstr>
      <vt:lpstr>Referenčne količine</vt:lpstr>
      <vt:lpstr>STANDARD UDOBJA</vt:lpstr>
      <vt:lpstr>EN. UPRAVLJANJE</vt:lpstr>
      <vt:lpstr>UKREPI - SPLOŠNE ZAHTEVE</vt:lpstr>
      <vt:lpstr>OB3</vt:lpstr>
      <vt:lpstr>UKREPI (SKUPAJ)</vt:lpstr>
      <vt:lpstr>OB01</vt:lpstr>
      <vt:lpstr>OB02</vt:lpstr>
      <vt:lpstr>OB03</vt:lpstr>
      <vt:lpstr>UKREPI SKUPAJ</vt:lpstr>
      <vt:lpstr>VZOREC OBRAČUNA - TOPLOTA</vt:lpstr>
      <vt:lpstr>VZOREC OBRAČUNA - EL. ENERG</vt:lpstr>
      <vt:lpstr>VZOREC OBRAČUNA - SKUPAJ</vt:lpstr>
      <vt:lpstr>'EN. UPRAVLJANJE'!Področje_tiskanja</vt:lpstr>
      <vt:lpstr>'Referenčne količine'!Področje_tiskanja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2019-04-11T11:27:57Z</dcterms:modified>
</cp:coreProperties>
</file>