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PONIKVE JN\POPISI\"/>
    </mc:Choice>
  </mc:AlternateContent>
  <bookViews>
    <workbookView xWindow="0" yWindow="0" windowWidth="29370" windowHeight="13110" tabRatio="889" activeTab="1"/>
  </bookViews>
  <sheets>
    <sheet name="naslovnica " sheetId="4" r:id="rId1"/>
    <sheet name="Rekapitulacija-skupaj" sheetId="7" r:id="rId2"/>
    <sheet name="Pripravljalna dela-skupna" sheetId="59" r:id="rId3"/>
    <sheet name="Rekapitulacija-cesta LC425043" sheetId="5" r:id="rId4"/>
    <sheet name="Predračun-cesta LC425043" sheetId="1" r:id="rId5"/>
    <sheet name="Rekapitulacija-dovozna cesta" sheetId="15" r:id="rId6"/>
    <sheet name="Predračun-dovozna cesta" sheetId="16" r:id="rId7"/>
    <sheet name="Rekapitulacija-dovozna cesta 2" sheetId="22" r:id="rId8"/>
    <sheet name="predračun-dovozna cesta 2" sheetId="21" r:id="rId9"/>
    <sheet name="Rekapitulacija-G.Ponikve" sheetId="30" r:id="rId10"/>
    <sheet name="predračun-G.Ponikve" sheetId="29" r:id="rId11"/>
    <sheet name="Rekapitulacija-ulice D.Ponikve" sheetId="32" r:id="rId12"/>
    <sheet name="predračun-ulice D.Ponikve" sheetId="31" r:id="rId13"/>
    <sheet name="Rekapitulacija fek.kan" sheetId="10" r:id="rId14"/>
    <sheet name="K1.0" sheetId="11" r:id="rId15"/>
    <sheet name="K2.0" sheetId="24" r:id="rId16"/>
    <sheet name="T2.0" sheetId="25" r:id="rId17"/>
    <sheet name="T1.0" sheetId="28" r:id="rId18"/>
    <sheet name="K1.1" sheetId="33" r:id="rId19"/>
    <sheet name="K1.1.1" sheetId="34" r:id="rId20"/>
    <sheet name="K1.2" sheetId="35" r:id="rId21"/>
    <sheet name="K1.2.1" sheetId="36" r:id="rId22"/>
    <sheet name="K1.2.2" sheetId="37" r:id="rId23"/>
    <sheet name="K1.3" sheetId="38" r:id="rId24"/>
    <sheet name="K2.1" sheetId="39" r:id="rId25"/>
    <sheet name="K2.1.1" sheetId="40" r:id="rId26"/>
    <sheet name="K2.2" sheetId="41" r:id="rId27"/>
    <sheet name="K2.2.1" sheetId="42" r:id="rId28"/>
    <sheet name="rekapitulacija met kan" sheetId="12" r:id="rId29"/>
    <sheet name="M1.0" sheetId="26" r:id="rId30"/>
    <sheet name="M2.0" sheetId="27" r:id="rId31"/>
    <sheet name="M1.1" sheetId="43" r:id="rId32"/>
    <sheet name="M1.2" sheetId="44" r:id="rId33"/>
    <sheet name="M2.1" sheetId="45" r:id="rId34"/>
    <sheet name="M2.2" sheetId="46" r:id="rId35"/>
    <sheet name="M2.2.1" sheetId="47" r:id="rId36"/>
    <sheet name="vodovod rekapitulacija" sheetId="18" r:id="rId37"/>
    <sheet name="V1.0" sheetId="23" r:id="rId38"/>
    <sheet name="V1.1" sheetId="48" r:id="rId39"/>
    <sheet name="V1.1.1" sheetId="49" r:id="rId40"/>
    <sheet name="V1.2" sheetId="50" r:id="rId41"/>
    <sheet name="V1.3" sheetId="51" r:id="rId42"/>
    <sheet name="V1.5" sheetId="52" r:id="rId43"/>
    <sheet name="V1.5.1" sheetId="53" r:id="rId44"/>
    <sheet name="V1.5.1.1" sheetId="54" r:id="rId45"/>
    <sheet name="V1.5.2" sheetId="55" r:id="rId46"/>
    <sheet name="JR" sheetId="56" r:id="rId47"/>
    <sheet name="NN priključek črpališč" sheetId="57" r:id="rId48"/>
    <sheet name="Črpališče G. in D. Ponikve-elek" sheetId="58" r:id="rId49"/>
    <sheet name="ČRP G. Ponikve" sheetId="61" r:id="rId50"/>
    <sheet name="ČRP D. Ponikve" sheetId="62" r:id="rId51"/>
    <sheet name="Tuje storitve - skupno" sheetId="60" r:id="rId52"/>
  </sheets>
  <definedNames>
    <definedName name="_Regression_Int" localSheetId="46">1</definedName>
    <definedName name="bookmark73" localSheetId="48">'Črpališče G. in D. Ponikve-elek'!$A$19</definedName>
    <definedName name="bookmark74" localSheetId="48">'Črpališče G. in D. Ponikve-elek'!$A$22</definedName>
    <definedName name="bookmark75" localSheetId="48">'Črpališče G. in D. Ponikve-elek'!$A$24</definedName>
    <definedName name="bookmark76" localSheetId="48">'Črpališče G. in D. Ponikve-elek'!$A$26</definedName>
    <definedName name="bookmark77" localSheetId="48">'Črpališče G. in D. Ponikve-elek'!$A$29</definedName>
    <definedName name="bookmark78" localSheetId="48">'Črpališče G. in D. Ponikve-elek'!$A$33</definedName>
    <definedName name="bookmark79" localSheetId="48">'Črpališče G. in D. Ponikve-elek'!$A$35</definedName>
    <definedName name="bookmark80" localSheetId="48">'Črpališče G. in D. Ponikve-elek'!#REF!</definedName>
    <definedName name="bookmark81" localSheetId="48">'Črpališče G. in D. Ponikve-elek'!$A$41</definedName>
    <definedName name="bookmark82" localSheetId="48">'Črpališče G. in D. Ponikve-elek'!$A$44</definedName>
    <definedName name="bookmark83" localSheetId="48">'Črpališče G. in D. Ponikve-elek'!$A$46</definedName>
    <definedName name="bookmark84" localSheetId="48">'Črpališče G. in D. Ponikve-elek'!#REF!</definedName>
    <definedName name="Excel_BuiltIn_Print_Area_2_1" localSheetId="37">'V1.0'!$A$1:$F$129</definedName>
    <definedName name="Excel_BuiltIn_Print_Area_2_1" localSheetId="38">'V1.1'!$A$1:$F$130</definedName>
    <definedName name="Excel_BuiltIn_Print_Area_2_1" localSheetId="39">'V1.1.1'!$A$1:$F$104</definedName>
    <definedName name="Excel_BuiltIn_Print_Area_2_1" localSheetId="40">'V1.2'!$A$1:$F$114</definedName>
    <definedName name="Excel_BuiltIn_Print_Area_2_1" localSheetId="41">'V1.3'!$A$1:$F$101</definedName>
    <definedName name="Excel_BuiltIn_Print_Area_2_1" localSheetId="42">'V1.5'!$A$1:$F$120</definedName>
    <definedName name="Excel_BuiltIn_Print_Area_2_1" localSheetId="43">'V1.5.1'!$A$1:$F$116</definedName>
    <definedName name="Excel_BuiltIn_Print_Area_2_1" localSheetId="44">'V1.5.1.1'!$A$1:$F$97</definedName>
    <definedName name="Excel_BuiltIn_Print_Area_2_1" localSheetId="45">'V1.5.2'!$A$1:$F$101</definedName>
    <definedName name="Excel_BuiltIn_Print_Area_2_1_1">"$#REF!.$A$1:$F$123"</definedName>
    <definedName name="Excel_BuiltIn_Print_Area_3">"$#REF!.$A$1:$F$123"</definedName>
    <definedName name="Excel_BuiltIn_Print_Area_4">"$#REF!.$A$1:$F$123"</definedName>
    <definedName name="Excel_BuiltIn_Print_Area_6">"$#REF!.$A$1:$C$31"</definedName>
    <definedName name="Excel_BuiltIn_Print_Titles_2_1">"$#REF!.$A$1:$IV$1"</definedName>
    <definedName name="Excel_BuiltIn_Print_Titles_3">"$#REF!.$A$1:$IV$1"</definedName>
    <definedName name="Excel_BuiltIn_Print_Titles_4">"$#REF!.$A$1:$IV$1"</definedName>
    <definedName name="Excel_BuiltIn_Print_Titles_6">"$#REF!.$A$1:$IV$1"</definedName>
    <definedName name="_xlnm.Print_Area" localSheetId="50">'ČRP D. Ponikve'!$A$1:$J$91</definedName>
    <definedName name="_xlnm.Print_Area" localSheetId="49">'ČRP G. Ponikve'!$A$1:$J$94</definedName>
    <definedName name="_xlnm.Print_Area" localSheetId="46">JR!$A$1:$M$506</definedName>
    <definedName name="_xlnm.Print_Area" localSheetId="14">'K1.0'!$A$1:$J$65</definedName>
    <definedName name="_xlnm.Print_Area" localSheetId="18">'K1.1'!$A$1:$J$64</definedName>
    <definedName name="_xlnm.Print_Area" localSheetId="19">'K1.1.1'!$A$1:$J$60</definedName>
    <definedName name="_xlnm.Print_Area" localSheetId="20">'K1.2'!$A$1:$J$64</definedName>
    <definedName name="_xlnm.Print_Area" localSheetId="21">'K1.2.1'!$A$1:$J$63</definedName>
    <definedName name="_xlnm.Print_Area" localSheetId="22">'K1.2.2'!$A$1:$J$63</definedName>
    <definedName name="_xlnm.Print_Area" localSheetId="23">'K1.3'!$A$1:$J$67</definedName>
    <definedName name="_xlnm.Print_Area" localSheetId="15">'K2.0'!$A$1:$J$51</definedName>
    <definedName name="_xlnm.Print_Area" localSheetId="24">'K2.1'!$A$1:$J$66</definedName>
    <definedName name="_xlnm.Print_Area" localSheetId="25">'K2.1.1'!$A$1:$J$67</definedName>
    <definedName name="_xlnm.Print_Area" localSheetId="26">'K2.2'!$A$1:$J$66</definedName>
    <definedName name="_xlnm.Print_Area" localSheetId="27">'K2.2.1'!$A$1:$J$67</definedName>
    <definedName name="_xlnm.Print_Area" localSheetId="29">'M1.0'!$A$1:$J$83</definedName>
    <definedName name="_xlnm.Print_Area" localSheetId="31">'M1.1'!$A$1:$J$72</definedName>
    <definedName name="_xlnm.Print_Area" localSheetId="32">'M1.2'!$A$1:$J$72</definedName>
    <definedName name="_xlnm.Print_Area" localSheetId="30">'M2.0'!$A$1:$J$95</definedName>
    <definedName name="_xlnm.Print_Area" localSheetId="33">'M2.1'!$A$1:$J$72</definedName>
    <definedName name="_xlnm.Print_Area" localSheetId="34">'M2.2'!$A$1:$J$73</definedName>
    <definedName name="_xlnm.Print_Area" localSheetId="35">'M2.2.1'!$A$1:$J$70</definedName>
    <definedName name="_xlnm.Print_Area" localSheetId="0">'naslovnica '!$A$1:$I$53</definedName>
    <definedName name="_xlnm.Print_Area" localSheetId="47">'NN priključek črpališč'!$A$1:$G$229</definedName>
    <definedName name="_xlnm.Print_Area" localSheetId="6">'Predračun-dovozna cesta'!$A$1:$M$30</definedName>
    <definedName name="_xlnm.Print_Area" localSheetId="8">'predračun-dovozna cesta 2'!$A$1:$M$18</definedName>
    <definedName name="_xlnm.Print_Area" localSheetId="10">'predračun-G.Ponikve'!$A$1:$M$43</definedName>
    <definedName name="_xlnm.Print_Area" localSheetId="12">'predračun-ulice D.Ponikve'!$A$1:$M$43</definedName>
    <definedName name="_xlnm.Print_Area" localSheetId="2">'Pripravljalna dela-skupna'!$A$1:$L$9</definedName>
    <definedName name="_xlnm.Print_Area" localSheetId="28">'rekapitulacija met kan'!$A$1:$D$11</definedName>
    <definedName name="_xlnm.Print_Area" localSheetId="3">'Rekapitulacija-cesta LC425043'!$A$1:$D$12</definedName>
    <definedName name="_xlnm.Print_Area" localSheetId="17">'T1.0'!$A$1:$J$78</definedName>
    <definedName name="_xlnm.Print_Area" localSheetId="16">'T2.0'!$A$1:$J$59</definedName>
    <definedName name="_xlnm.Print_Area" localSheetId="51">'Tuje storitve - skupno'!$A$1:$F$6</definedName>
    <definedName name="_xlnm.Print_Area" localSheetId="37">'V1.0'!$A$1:$F$129</definedName>
    <definedName name="_xlnm.Print_Area" localSheetId="38">'V1.1'!$A$1:$F$130</definedName>
    <definedName name="_xlnm.Print_Area" localSheetId="39">'V1.1.1'!$A$1:$F$104</definedName>
    <definedName name="_xlnm.Print_Area" localSheetId="40">'V1.2'!$A$1:$F$114</definedName>
    <definedName name="_xlnm.Print_Area" localSheetId="41">'V1.3'!$A$1:$F$101</definedName>
    <definedName name="_xlnm.Print_Area" localSheetId="42">'V1.5'!$A$1:$F$120</definedName>
    <definedName name="_xlnm.Print_Area" localSheetId="43">'V1.5.1'!$A$1:$F$116</definedName>
    <definedName name="_xlnm.Print_Area" localSheetId="44">'V1.5.1.1'!$A$1:$F$97</definedName>
    <definedName name="_xlnm.Print_Area" localSheetId="45">'V1.5.2'!$A$1:$F$101</definedName>
    <definedName name="_xlnm.Print_Area" localSheetId="36">'vodovod rekapitulacija'!$A$1:$F$29</definedName>
    <definedName name="Print_Area_MI">JR!#REF!</definedName>
    <definedName name="_xlnm.Print_Titles" localSheetId="4">'Predračun-cesta LC425043'!$3:$3</definedName>
    <definedName name="_xlnm.Print_Titles" localSheetId="37">'V1.0'!$1:$1</definedName>
    <definedName name="_xlnm.Print_Titles" localSheetId="38">'V1.1'!$1:$1</definedName>
    <definedName name="_xlnm.Print_Titles" localSheetId="39">'V1.1.1'!$1:$1</definedName>
    <definedName name="_xlnm.Print_Titles" localSheetId="40">'V1.2'!$1:$1</definedName>
    <definedName name="_xlnm.Print_Titles" localSheetId="41">'V1.3'!$1:$1</definedName>
    <definedName name="_xlnm.Print_Titles" localSheetId="42">'V1.5'!$1:$1</definedName>
    <definedName name="_xlnm.Print_Titles" localSheetId="43">'V1.5.1'!$1:$1</definedName>
    <definedName name="_xlnm.Print_Titles" localSheetId="44">'V1.5.1.1'!$1:$1</definedName>
    <definedName name="_xlnm.Print_Titles" localSheetId="45">'V1.5.2'!$1:$1</definedName>
    <definedName name="_xlnm.Print_Titles" localSheetId="36">'vodovod rekapitulacija'!$1:$4</definedName>
    <definedName name="_xlnm.Print_Titles">#N/A</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361" i="56" l="1"/>
  <c r="J33" i="58" l="1"/>
  <c r="C79" i="54" l="1"/>
  <c r="J48" i="58"/>
  <c r="J45" i="58"/>
  <c r="J43" i="58"/>
  <c r="J35" i="58"/>
  <c r="J31" i="58"/>
  <c r="J28" i="58"/>
  <c r="J24" i="58"/>
  <c r="J23" i="58"/>
  <c r="J21" i="58"/>
  <c r="G152" i="57"/>
  <c r="G155" i="57"/>
  <c r="G160" i="57"/>
  <c r="G163" i="57"/>
  <c r="G166" i="57"/>
  <c r="G181" i="57"/>
  <c r="G149" i="57"/>
  <c r="G118" i="57"/>
  <c r="G122" i="57"/>
  <c r="G125" i="57"/>
  <c r="G128" i="57"/>
  <c r="G131" i="57"/>
  <c r="G134" i="57"/>
  <c r="G115" i="57"/>
  <c r="G109" i="57"/>
  <c r="G71" i="57"/>
  <c r="G74" i="57"/>
  <c r="G78" i="57"/>
  <c r="G86" i="57"/>
  <c r="G93" i="57"/>
  <c r="G97" i="57"/>
  <c r="G67" i="57"/>
  <c r="F26" i="62"/>
  <c r="F23" i="62"/>
  <c r="J23" i="62" s="1"/>
  <c r="F89" i="62"/>
  <c r="J89" i="62" s="1"/>
  <c r="J91" i="62" s="1"/>
  <c r="J7" i="62" s="1"/>
  <c r="J82" i="62"/>
  <c r="J78" i="62"/>
  <c r="J77" i="62"/>
  <c r="J76" i="62"/>
  <c r="J71" i="62"/>
  <c r="J70" i="62"/>
  <c r="J69" i="62"/>
  <c r="J68" i="62"/>
  <c r="J67" i="62"/>
  <c r="J66" i="62"/>
  <c r="J58" i="62"/>
  <c r="J47" i="62"/>
  <c r="J38" i="62"/>
  <c r="F36" i="62"/>
  <c r="J36" i="62" s="1"/>
  <c r="J35" i="62"/>
  <c r="F30" i="62"/>
  <c r="J30" i="62" s="1"/>
  <c r="F27" i="62"/>
  <c r="J27" i="62" s="1"/>
  <c r="J26" i="62"/>
  <c r="J15" i="62"/>
  <c r="J13" i="62"/>
  <c r="E13" i="62"/>
  <c r="J67" i="61"/>
  <c r="J58" i="61"/>
  <c r="J81" i="61"/>
  <c r="J80" i="61"/>
  <c r="J74" i="61"/>
  <c r="J73" i="61"/>
  <c r="J72" i="61"/>
  <c r="J71" i="61"/>
  <c r="J70" i="61"/>
  <c r="J69" i="61"/>
  <c r="F36" i="61"/>
  <c r="F30" i="61"/>
  <c r="J30" i="61" s="1"/>
  <c r="F27" i="61"/>
  <c r="J27" i="61" s="1"/>
  <c r="F23" i="61"/>
  <c r="J23" i="61" s="1"/>
  <c r="F92" i="61"/>
  <c r="J92" i="61" s="1"/>
  <c r="J85" i="61"/>
  <c r="J79" i="61"/>
  <c r="J47" i="61"/>
  <c r="J38" i="61"/>
  <c r="J15" i="61"/>
  <c r="E13" i="61"/>
  <c r="F16" i="31"/>
  <c r="F23" i="25"/>
  <c r="C31" i="23"/>
  <c r="F24" i="25"/>
  <c r="F25" i="11"/>
  <c r="F24" i="11"/>
  <c r="F33" i="11" s="1"/>
  <c r="F27" i="27"/>
  <c r="F26" i="27"/>
  <c r="F26" i="26"/>
  <c r="F25" i="26"/>
  <c r="F29" i="1"/>
  <c r="F19" i="1"/>
  <c r="J50" i="58" l="1"/>
  <c r="F6" i="58" s="1"/>
  <c r="J36" i="58"/>
  <c r="F5" i="58" s="1"/>
  <c r="F34" i="11"/>
  <c r="F32" i="62"/>
  <c r="J32" i="62" s="1"/>
  <c r="J85" i="62"/>
  <c r="J6" i="62" s="1"/>
  <c r="J17" i="62"/>
  <c r="J4" i="62" s="1"/>
  <c r="F40" i="62"/>
  <c r="J40" i="62" s="1"/>
  <c r="F32" i="61"/>
  <c r="J32" i="61" s="1"/>
  <c r="J35" i="61"/>
  <c r="J36" i="61"/>
  <c r="J88" i="61"/>
  <c r="J6" i="61" s="1"/>
  <c r="J94" i="61"/>
  <c r="J7" i="61" s="1"/>
  <c r="J13" i="61"/>
  <c r="J17" i="61" s="1"/>
  <c r="J4" i="61" s="1"/>
  <c r="J26" i="61"/>
  <c r="F6" i="60"/>
  <c r="F5" i="60"/>
  <c r="F3" i="60"/>
  <c r="F4" i="60"/>
  <c r="C19" i="23"/>
  <c r="L9" i="59"/>
  <c r="L8" i="59"/>
  <c r="L7" i="59"/>
  <c r="L5" i="59"/>
  <c r="L4" i="59"/>
  <c r="F2" i="60" l="1"/>
  <c r="L3" i="59"/>
  <c r="L2" i="59" s="1"/>
  <c r="C4" i="7" s="1"/>
  <c r="J42" i="62"/>
  <c r="J5" i="62" s="1"/>
  <c r="J8" i="62" s="1"/>
  <c r="F40" i="61"/>
  <c r="J40" i="61" s="1"/>
  <c r="J42" i="61" s="1"/>
  <c r="J5" i="61" s="1"/>
  <c r="J8" i="61" s="1"/>
  <c r="B6" i="58"/>
  <c r="B5" i="58"/>
  <c r="B38" i="57"/>
  <c r="B37" i="57"/>
  <c r="B36" i="57"/>
  <c r="G185" i="57"/>
  <c r="G38" i="57" s="1"/>
  <c r="G137" i="57"/>
  <c r="G37" i="57" s="1"/>
  <c r="G99" i="57"/>
  <c r="G36" i="57" s="1"/>
  <c r="M358" i="56"/>
  <c r="M367" i="56" s="1"/>
  <c r="M468" i="56" s="1"/>
  <c r="M332" i="56"/>
  <c r="M329" i="56"/>
  <c r="M326" i="56"/>
  <c r="M321" i="56"/>
  <c r="M317" i="56"/>
  <c r="M308" i="56"/>
  <c r="M303" i="56"/>
  <c r="M294" i="56"/>
  <c r="M283" i="56"/>
  <c r="M276" i="56"/>
  <c r="M267" i="56"/>
  <c r="M258" i="56"/>
  <c r="M253" i="56"/>
  <c r="M247" i="56"/>
  <c r="M242" i="56"/>
  <c r="M189" i="56"/>
  <c r="M192" i="56" s="1"/>
  <c r="M199" i="56" s="1"/>
  <c r="M422" i="56" s="1"/>
  <c r="M157" i="56"/>
  <c r="M153" i="56"/>
  <c r="M148" i="56"/>
  <c r="M127" i="56"/>
  <c r="M117" i="56"/>
  <c r="M113" i="56"/>
  <c r="M109" i="56"/>
  <c r="M71" i="56"/>
  <c r="M65" i="56"/>
  <c r="M61" i="56"/>
  <c r="F89" i="55"/>
  <c r="F87" i="55"/>
  <c r="F85" i="55"/>
  <c r="C79" i="55"/>
  <c r="C82" i="55" s="1"/>
  <c r="F82" i="55" s="1"/>
  <c r="F69" i="55"/>
  <c r="F66" i="55"/>
  <c r="F54" i="55"/>
  <c r="F48" i="55"/>
  <c r="C42" i="55"/>
  <c r="F42" i="55" s="1"/>
  <c r="C39" i="55"/>
  <c r="F39" i="55" s="1"/>
  <c r="Z32" i="55"/>
  <c r="Y32" i="55"/>
  <c r="X32" i="55"/>
  <c r="W32" i="55"/>
  <c r="V32" i="55"/>
  <c r="U32" i="55"/>
  <c r="T32" i="55"/>
  <c r="S32" i="55"/>
  <c r="R32" i="55"/>
  <c r="Q32" i="55"/>
  <c r="P32" i="55"/>
  <c r="O32" i="55"/>
  <c r="N32" i="55"/>
  <c r="M32" i="55"/>
  <c r="L32" i="55"/>
  <c r="C8" i="55"/>
  <c r="C25" i="55" s="1"/>
  <c r="F85" i="54"/>
  <c r="F79" i="54"/>
  <c r="F66" i="54"/>
  <c r="F63" i="54"/>
  <c r="F51" i="54"/>
  <c r="C48" i="54"/>
  <c r="F48" i="54" s="1"/>
  <c r="F45" i="54"/>
  <c r="F42" i="54"/>
  <c r="C39" i="54"/>
  <c r="F39" i="54" s="1"/>
  <c r="C36" i="54"/>
  <c r="F36" i="54" s="1"/>
  <c r="F33" i="54"/>
  <c r="Z27" i="54"/>
  <c r="Y27" i="54"/>
  <c r="X27" i="54"/>
  <c r="W27" i="54"/>
  <c r="V27" i="54"/>
  <c r="U27" i="54"/>
  <c r="T27" i="54"/>
  <c r="S27" i="54"/>
  <c r="R27" i="54"/>
  <c r="Q27" i="54"/>
  <c r="P27" i="54"/>
  <c r="O27" i="54"/>
  <c r="N27" i="54"/>
  <c r="M27" i="54"/>
  <c r="L27" i="54"/>
  <c r="C22" i="54"/>
  <c r="F22" i="54" s="1"/>
  <c r="C21" i="54"/>
  <c r="F21" i="54" s="1"/>
  <c r="C70" i="53"/>
  <c r="F70" i="53" s="1"/>
  <c r="C67" i="53"/>
  <c r="F67" i="53" s="1"/>
  <c r="F98" i="53"/>
  <c r="F104" i="53"/>
  <c r="F102" i="53"/>
  <c r="F101" i="53"/>
  <c r="F99" i="53"/>
  <c r="F97" i="53"/>
  <c r="F94" i="53"/>
  <c r="F92" i="53"/>
  <c r="C83" i="53"/>
  <c r="C86" i="53" s="1"/>
  <c r="F86" i="53" s="1"/>
  <c r="F76" i="53"/>
  <c r="F73" i="53"/>
  <c r="F55" i="53"/>
  <c r="C46" i="53"/>
  <c r="F46" i="53" s="1"/>
  <c r="C43" i="53"/>
  <c r="F43" i="53" s="1"/>
  <c r="Z36" i="53"/>
  <c r="Y36" i="53"/>
  <c r="X36" i="53"/>
  <c r="W36" i="53"/>
  <c r="V36" i="53"/>
  <c r="U36" i="53"/>
  <c r="T36" i="53"/>
  <c r="S36" i="53"/>
  <c r="R36" i="53"/>
  <c r="Q36" i="53"/>
  <c r="P36" i="53"/>
  <c r="O36" i="53"/>
  <c r="N36" i="53"/>
  <c r="M36" i="53"/>
  <c r="L36" i="53"/>
  <c r="C8" i="53"/>
  <c r="C29" i="53" s="1"/>
  <c r="F108" i="52"/>
  <c r="F105" i="52"/>
  <c r="F103" i="52"/>
  <c r="F102" i="52"/>
  <c r="F99" i="52"/>
  <c r="F97" i="52"/>
  <c r="C90" i="52"/>
  <c r="C93" i="52" s="1"/>
  <c r="F93" i="52" s="1"/>
  <c r="C83" i="52"/>
  <c r="C86" i="52" s="1"/>
  <c r="F86" i="52" s="1"/>
  <c r="F76" i="52"/>
  <c r="F73" i="52"/>
  <c r="C70" i="52"/>
  <c r="F70" i="52" s="1"/>
  <c r="C67" i="52"/>
  <c r="F67" i="52" s="1"/>
  <c r="F55" i="52"/>
  <c r="C43" i="52"/>
  <c r="F43" i="52" s="1"/>
  <c r="C40" i="52"/>
  <c r="F40" i="52" s="1"/>
  <c r="Z33" i="52"/>
  <c r="Y33" i="52"/>
  <c r="X33" i="52"/>
  <c r="W33" i="52"/>
  <c r="V33" i="52"/>
  <c r="U33" i="52"/>
  <c r="T33" i="52"/>
  <c r="S33" i="52"/>
  <c r="R33" i="52"/>
  <c r="Q33" i="52"/>
  <c r="P33" i="52"/>
  <c r="O33" i="52"/>
  <c r="N33" i="52"/>
  <c r="M33" i="52"/>
  <c r="L33" i="52"/>
  <c r="C8" i="52"/>
  <c r="C26" i="52" s="1"/>
  <c r="C85" i="51"/>
  <c r="C88" i="51" s="1"/>
  <c r="F88" i="51" s="1"/>
  <c r="F71" i="51"/>
  <c r="F68" i="51"/>
  <c r="F57" i="51"/>
  <c r="F51" i="51"/>
  <c r="C45" i="51"/>
  <c r="F45" i="51" s="1"/>
  <c r="C42" i="51"/>
  <c r="F42" i="51" s="1"/>
  <c r="Z33" i="51"/>
  <c r="Y33" i="51"/>
  <c r="X33" i="51"/>
  <c r="W33" i="51"/>
  <c r="V33" i="51"/>
  <c r="U33" i="51"/>
  <c r="T33" i="51"/>
  <c r="S33" i="51"/>
  <c r="R33" i="51"/>
  <c r="Q33" i="51"/>
  <c r="P33" i="51"/>
  <c r="O33" i="51"/>
  <c r="N33" i="51"/>
  <c r="M33" i="51"/>
  <c r="L33" i="51"/>
  <c r="C8" i="51"/>
  <c r="F102" i="50"/>
  <c r="F100" i="50"/>
  <c r="F99" i="50"/>
  <c r="F98" i="50"/>
  <c r="F96" i="50"/>
  <c r="F95" i="50"/>
  <c r="F92" i="50"/>
  <c r="F90" i="50"/>
  <c r="C82" i="50"/>
  <c r="C85" i="50" s="1"/>
  <c r="F85" i="50" s="1"/>
  <c r="F75" i="50"/>
  <c r="F72" i="50"/>
  <c r="C69" i="50"/>
  <c r="F69" i="50" s="1"/>
  <c r="C66" i="50"/>
  <c r="F66" i="50" s="1"/>
  <c r="F54" i="50"/>
  <c r="C45" i="50"/>
  <c r="F45" i="50" s="1"/>
  <c r="C42" i="50"/>
  <c r="F42" i="50" s="1"/>
  <c r="Z33" i="50"/>
  <c r="Y33" i="50"/>
  <c r="X33" i="50"/>
  <c r="W33" i="50"/>
  <c r="V33" i="50"/>
  <c r="U33" i="50"/>
  <c r="T33" i="50"/>
  <c r="S33" i="50"/>
  <c r="R33" i="50"/>
  <c r="Q33" i="50"/>
  <c r="P33" i="50"/>
  <c r="O33" i="50"/>
  <c r="N33" i="50"/>
  <c r="M33" i="50"/>
  <c r="L33" i="50"/>
  <c r="C8" i="50"/>
  <c r="C8" i="49"/>
  <c r="C19" i="49" s="1"/>
  <c r="F19" i="49" s="1"/>
  <c r="C89" i="49"/>
  <c r="C92" i="49" s="1"/>
  <c r="F92" i="49" s="1"/>
  <c r="F78" i="49"/>
  <c r="F75" i="49"/>
  <c r="F62" i="49"/>
  <c r="C50" i="49"/>
  <c r="F50" i="49" s="1"/>
  <c r="C47" i="49"/>
  <c r="F47" i="49" s="1"/>
  <c r="Z37" i="49"/>
  <c r="Y37" i="49"/>
  <c r="X37" i="49"/>
  <c r="W37" i="49"/>
  <c r="V37" i="49"/>
  <c r="U37" i="49"/>
  <c r="T37" i="49"/>
  <c r="S37" i="49"/>
  <c r="R37" i="49"/>
  <c r="Q37" i="49"/>
  <c r="P37" i="49"/>
  <c r="O37" i="49"/>
  <c r="N37" i="49"/>
  <c r="M37" i="49"/>
  <c r="L37" i="49"/>
  <c r="F112" i="48"/>
  <c r="C8" i="48"/>
  <c r="C125" i="48" s="1"/>
  <c r="F125" i="48" s="1"/>
  <c r="F118" i="48"/>
  <c r="F109" i="48"/>
  <c r="F108" i="48"/>
  <c r="F107" i="48"/>
  <c r="F105" i="48"/>
  <c r="F103" i="48"/>
  <c r="F100" i="48"/>
  <c r="F99" i="48"/>
  <c r="F98" i="48"/>
  <c r="F97" i="48"/>
  <c r="C90" i="48"/>
  <c r="C93" i="48" s="1"/>
  <c r="F93" i="48" s="1"/>
  <c r="F83" i="48"/>
  <c r="F80" i="48"/>
  <c r="C77" i="48"/>
  <c r="F77" i="48" s="1"/>
  <c r="C74" i="48"/>
  <c r="F74" i="48" s="1"/>
  <c r="F62" i="48"/>
  <c r="C52" i="48"/>
  <c r="F52" i="48" s="1"/>
  <c r="C49" i="48"/>
  <c r="F49" i="48" s="1"/>
  <c r="Z38" i="48"/>
  <c r="Y38" i="48"/>
  <c r="X38" i="48"/>
  <c r="W38" i="48"/>
  <c r="V38" i="48"/>
  <c r="U38" i="48"/>
  <c r="T38" i="48"/>
  <c r="S38" i="48"/>
  <c r="R38" i="48"/>
  <c r="Q38" i="48"/>
  <c r="P38" i="48"/>
  <c r="O38" i="48"/>
  <c r="N38" i="48"/>
  <c r="M38" i="48"/>
  <c r="L38" i="48"/>
  <c r="C72" i="23"/>
  <c r="C75" i="23"/>
  <c r="F109" i="23"/>
  <c r="F96" i="23"/>
  <c r="F113" i="23"/>
  <c r="F103" i="23"/>
  <c r="C88" i="23"/>
  <c r="C51" i="23"/>
  <c r="C48" i="23"/>
  <c r="C54" i="23" s="1"/>
  <c r="J59" i="46"/>
  <c r="F54" i="47"/>
  <c r="J54" i="47" s="1"/>
  <c r="F48" i="47"/>
  <c r="J48" i="47" s="1"/>
  <c r="F34" i="47"/>
  <c r="J34" i="47" s="1"/>
  <c r="F32" i="47"/>
  <c r="J32" i="47" s="1"/>
  <c r="J15" i="47"/>
  <c r="J13" i="47"/>
  <c r="F11" i="47"/>
  <c r="J11" i="47" s="1"/>
  <c r="F9" i="47"/>
  <c r="E9" i="47"/>
  <c r="F56" i="46"/>
  <c r="J56" i="46" s="1"/>
  <c r="F53" i="46"/>
  <c r="J53" i="46" s="1"/>
  <c r="F47" i="46"/>
  <c r="J47" i="46" s="1"/>
  <c r="F32" i="46"/>
  <c r="J32" i="46" s="1"/>
  <c r="F30" i="46"/>
  <c r="J30" i="46" s="1"/>
  <c r="J15" i="46"/>
  <c r="J13" i="46"/>
  <c r="F11" i="46"/>
  <c r="J11" i="46" s="1"/>
  <c r="F9" i="46"/>
  <c r="E9" i="46"/>
  <c r="F58" i="45"/>
  <c r="J58" i="45" s="1"/>
  <c r="F55" i="45"/>
  <c r="J55" i="45" s="1"/>
  <c r="F51" i="45"/>
  <c r="J51" i="45" s="1"/>
  <c r="F49" i="45"/>
  <c r="J49" i="45" s="1"/>
  <c r="F34" i="45"/>
  <c r="J34" i="45" s="1"/>
  <c r="F32" i="45"/>
  <c r="J32" i="45" s="1"/>
  <c r="J15" i="45"/>
  <c r="J13" i="45"/>
  <c r="F11" i="45"/>
  <c r="J11" i="45" s="1"/>
  <c r="F9" i="45"/>
  <c r="E9" i="45"/>
  <c r="F58" i="44"/>
  <c r="J58" i="44" s="1"/>
  <c r="F55" i="44"/>
  <c r="J55" i="44" s="1"/>
  <c r="F49" i="44"/>
  <c r="J49" i="44" s="1"/>
  <c r="F34" i="44"/>
  <c r="J34" i="44" s="1"/>
  <c r="F32" i="44"/>
  <c r="J32" i="44" s="1"/>
  <c r="J15" i="44"/>
  <c r="J13" i="44"/>
  <c r="F11" i="44"/>
  <c r="J11" i="44" s="1"/>
  <c r="F9" i="44"/>
  <c r="E9" i="44"/>
  <c r="F51" i="43"/>
  <c r="J51" i="43" s="1"/>
  <c r="F9" i="43"/>
  <c r="F58" i="43"/>
  <c r="J58" i="43" s="1"/>
  <c r="F55" i="43"/>
  <c r="J55" i="43" s="1"/>
  <c r="F49" i="43"/>
  <c r="J49" i="43" s="1"/>
  <c r="F34" i="43"/>
  <c r="J34" i="43" s="1"/>
  <c r="F32" i="43"/>
  <c r="J32" i="43" s="1"/>
  <c r="J15" i="43"/>
  <c r="J13" i="43"/>
  <c r="F11" i="43"/>
  <c r="J11" i="43" s="1"/>
  <c r="E9" i="43"/>
  <c r="J53" i="42"/>
  <c r="F50" i="42"/>
  <c r="J50" i="42" s="1"/>
  <c r="F46" i="42"/>
  <c r="J46" i="42" s="1"/>
  <c r="F32" i="42"/>
  <c r="J32" i="42" s="1"/>
  <c r="F30" i="42"/>
  <c r="J30" i="42" s="1"/>
  <c r="J15" i="42"/>
  <c r="J13" i="42"/>
  <c r="F11" i="42"/>
  <c r="J11" i="42" s="1"/>
  <c r="F9" i="42"/>
  <c r="E9" i="42"/>
  <c r="F52" i="41"/>
  <c r="J52" i="41" s="1"/>
  <c r="F46" i="41"/>
  <c r="J46" i="41" s="1"/>
  <c r="F32" i="41"/>
  <c r="J32" i="41" s="1"/>
  <c r="F30" i="41"/>
  <c r="J30" i="41" s="1"/>
  <c r="J15" i="41"/>
  <c r="J13" i="41"/>
  <c r="F11" i="41"/>
  <c r="J11" i="41" s="1"/>
  <c r="F9" i="41"/>
  <c r="E9" i="41"/>
  <c r="F53" i="40"/>
  <c r="J53" i="40" s="1"/>
  <c r="J50" i="40"/>
  <c r="F46" i="40"/>
  <c r="J46" i="40" s="1"/>
  <c r="F32" i="40"/>
  <c r="J32" i="40" s="1"/>
  <c r="F30" i="40"/>
  <c r="J30" i="40" s="1"/>
  <c r="J15" i="40"/>
  <c r="J13" i="40"/>
  <c r="F11" i="40"/>
  <c r="J11" i="40" s="1"/>
  <c r="F9" i="40"/>
  <c r="E9" i="40"/>
  <c r="F52" i="39"/>
  <c r="J52" i="39" s="1"/>
  <c r="F49" i="39"/>
  <c r="J49" i="39" s="1"/>
  <c r="F45" i="39"/>
  <c r="J45" i="39" s="1"/>
  <c r="F32" i="39"/>
  <c r="J32" i="39" s="1"/>
  <c r="F30" i="39"/>
  <c r="J30" i="39" s="1"/>
  <c r="J15" i="39"/>
  <c r="J13" i="39"/>
  <c r="F11" i="39"/>
  <c r="J11" i="39" s="1"/>
  <c r="F9" i="39"/>
  <c r="E9" i="39"/>
  <c r="F53" i="38"/>
  <c r="J53" i="38" s="1"/>
  <c r="F50" i="38"/>
  <c r="J50" i="38" s="1"/>
  <c r="F46" i="38"/>
  <c r="J46" i="38" s="1"/>
  <c r="F32" i="38"/>
  <c r="J32" i="38" s="1"/>
  <c r="F30" i="38"/>
  <c r="J30" i="38" s="1"/>
  <c r="J15" i="38"/>
  <c r="J13" i="38"/>
  <c r="F11" i="38"/>
  <c r="J11" i="38" s="1"/>
  <c r="F9" i="38"/>
  <c r="E9" i="38"/>
  <c r="F49" i="37"/>
  <c r="J49" i="37" s="1"/>
  <c r="J46" i="37"/>
  <c r="F42" i="37"/>
  <c r="J42" i="37" s="1"/>
  <c r="F29" i="37"/>
  <c r="J29" i="37" s="1"/>
  <c r="F27" i="37"/>
  <c r="J27" i="37" s="1"/>
  <c r="J15" i="37"/>
  <c r="J13" i="37"/>
  <c r="F11" i="37"/>
  <c r="J11" i="37" s="1"/>
  <c r="F9" i="37"/>
  <c r="E9" i="37"/>
  <c r="F49" i="36"/>
  <c r="J49" i="36" s="1"/>
  <c r="F46" i="36"/>
  <c r="J46" i="36" s="1"/>
  <c r="F42" i="36"/>
  <c r="J42" i="36" s="1"/>
  <c r="F29" i="36"/>
  <c r="J29" i="36" s="1"/>
  <c r="F27" i="36"/>
  <c r="J27" i="36" s="1"/>
  <c r="J15" i="36"/>
  <c r="J13" i="36"/>
  <c r="F11" i="36"/>
  <c r="J11" i="36" s="1"/>
  <c r="F9" i="36"/>
  <c r="E9" i="36"/>
  <c r="F50" i="35"/>
  <c r="J50" i="35" s="1"/>
  <c r="F47" i="35"/>
  <c r="J47" i="35" s="1"/>
  <c r="F43" i="35"/>
  <c r="J43" i="35" s="1"/>
  <c r="F30" i="35"/>
  <c r="J30" i="35" s="1"/>
  <c r="F28" i="35"/>
  <c r="J28" i="35" s="1"/>
  <c r="J15" i="35"/>
  <c r="J13" i="35"/>
  <c r="F11" i="35"/>
  <c r="J11" i="35" s="1"/>
  <c r="F9" i="35"/>
  <c r="E9" i="35"/>
  <c r="F43" i="34"/>
  <c r="J43" i="34" s="1"/>
  <c r="F39" i="34"/>
  <c r="J39" i="34" s="1"/>
  <c r="J48" i="34" s="1"/>
  <c r="F27" i="34"/>
  <c r="J27" i="34" s="1"/>
  <c r="F25" i="34"/>
  <c r="J25" i="34" s="1"/>
  <c r="J15" i="34"/>
  <c r="J13" i="34"/>
  <c r="F11" i="34"/>
  <c r="J11" i="34" s="1"/>
  <c r="F9" i="34"/>
  <c r="E9" i="34"/>
  <c r="F50" i="33"/>
  <c r="J50" i="33" s="1"/>
  <c r="F47" i="33"/>
  <c r="J47" i="33" s="1"/>
  <c r="F43" i="33"/>
  <c r="J43" i="33" s="1"/>
  <c r="F28" i="33"/>
  <c r="J28" i="33" s="1"/>
  <c r="F26" i="33"/>
  <c r="J26" i="33" s="1"/>
  <c r="F11" i="33"/>
  <c r="J11" i="33" s="1"/>
  <c r="F9" i="33"/>
  <c r="J15" i="33"/>
  <c r="J13" i="33"/>
  <c r="E9" i="33"/>
  <c r="F29" i="29"/>
  <c r="M29" i="29" s="1"/>
  <c r="M28" i="29" s="1"/>
  <c r="F30" i="31"/>
  <c r="M30" i="31" s="1"/>
  <c r="M29" i="31" s="1"/>
  <c r="F42" i="31"/>
  <c r="M42" i="31" s="1"/>
  <c r="F41" i="31"/>
  <c r="F11" i="29"/>
  <c r="M40" i="31"/>
  <c r="M37" i="31"/>
  <c r="M36" i="31" s="1"/>
  <c r="M33" i="31"/>
  <c r="M32" i="31" s="1"/>
  <c r="F28" i="31"/>
  <c r="F27" i="31"/>
  <c r="M27" i="31" s="1"/>
  <c r="M26" i="31"/>
  <c r="F20" i="31"/>
  <c r="M20" i="31" s="1"/>
  <c r="M19" i="31" s="1"/>
  <c r="F18" i="31"/>
  <c r="M18" i="31" s="1"/>
  <c r="M17" i="31" s="1"/>
  <c r="M16" i="31"/>
  <c r="F15" i="31"/>
  <c r="M15" i="31" s="1"/>
  <c r="M11" i="31"/>
  <c r="F10" i="31"/>
  <c r="M9" i="31"/>
  <c r="M7" i="31"/>
  <c r="M6" i="31"/>
  <c r="M32" i="29"/>
  <c r="M31" i="29" s="1"/>
  <c r="M42" i="29"/>
  <c r="M40" i="29"/>
  <c r="M39" i="29"/>
  <c r="M36" i="29"/>
  <c r="F27" i="29"/>
  <c r="F26" i="29"/>
  <c r="M26" i="29" s="1"/>
  <c r="M25" i="29"/>
  <c r="F19" i="29"/>
  <c r="F17" i="29"/>
  <c r="M17" i="29" s="1"/>
  <c r="M16" i="29" s="1"/>
  <c r="M9" i="29"/>
  <c r="M7" i="29"/>
  <c r="M6" i="29"/>
  <c r="J60" i="45" l="1"/>
  <c r="J52" i="35"/>
  <c r="M5" i="31"/>
  <c r="C16" i="7"/>
  <c r="M14" i="31"/>
  <c r="J55" i="42"/>
  <c r="J54" i="41"/>
  <c r="J54" i="39"/>
  <c r="J55" i="38"/>
  <c r="J51" i="37"/>
  <c r="J52" i="33"/>
  <c r="C45" i="55"/>
  <c r="F45" i="55" s="1"/>
  <c r="F28" i="54"/>
  <c r="C49" i="53"/>
  <c r="F49" i="53" s="1"/>
  <c r="J58" i="47"/>
  <c r="F7" i="58"/>
  <c r="C15" i="7" s="1"/>
  <c r="F15" i="7" s="1"/>
  <c r="M160" i="56"/>
  <c r="M165" i="56" s="1"/>
  <c r="M120" i="56"/>
  <c r="M134" i="56" s="1"/>
  <c r="G39" i="57"/>
  <c r="C30" i="53"/>
  <c r="F30" i="53" s="1"/>
  <c r="F64" i="41"/>
  <c r="J64" i="41" s="1"/>
  <c r="F25" i="41"/>
  <c r="J25" i="41" s="1"/>
  <c r="F28" i="41"/>
  <c r="J28" i="41" s="1"/>
  <c r="F24" i="41"/>
  <c r="F65" i="42"/>
  <c r="J65" i="42" s="1"/>
  <c r="F28" i="42"/>
  <c r="J28" i="42" s="1"/>
  <c r="F25" i="42"/>
  <c r="J25" i="42" s="1"/>
  <c r="F24" i="42"/>
  <c r="F70" i="45"/>
  <c r="J70" i="45" s="1"/>
  <c r="F30" i="45"/>
  <c r="J30" i="45" s="1"/>
  <c r="F27" i="45"/>
  <c r="J27" i="45" s="1"/>
  <c r="F26" i="45"/>
  <c r="C26" i="55"/>
  <c r="F26" i="55" s="1"/>
  <c r="F10" i="29"/>
  <c r="M10" i="29" s="1"/>
  <c r="F56" i="35"/>
  <c r="J56" i="35" s="1"/>
  <c r="F25" i="35"/>
  <c r="J25" i="35" s="1"/>
  <c r="F24" i="35"/>
  <c r="J51" i="36"/>
  <c r="F64" i="39"/>
  <c r="J64" i="39" s="1"/>
  <c r="F28" i="39"/>
  <c r="J28" i="39" s="1"/>
  <c r="F24" i="39"/>
  <c r="F25" i="39"/>
  <c r="J25" i="39" s="1"/>
  <c r="J55" i="40"/>
  <c r="F70" i="43"/>
  <c r="J70" i="43" s="1"/>
  <c r="F37" i="43"/>
  <c r="J37" i="43" s="1"/>
  <c r="F26" i="43"/>
  <c r="F30" i="43"/>
  <c r="J30" i="43" s="1"/>
  <c r="F27" i="43"/>
  <c r="J27" i="43" s="1"/>
  <c r="F38" i="43"/>
  <c r="J38" i="43" s="1"/>
  <c r="C46" i="52"/>
  <c r="C27" i="52"/>
  <c r="F27" i="52" s="1"/>
  <c r="F55" i="36"/>
  <c r="J55" i="36" s="1"/>
  <c r="F24" i="36"/>
  <c r="F25" i="36"/>
  <c r="J25" i="36" s="1"/>
  <c r="F65" i="40"/>
  <c r="J65" i="40" s="1"/>
  <c r="F28" i="40"/>
  <c r="J28" i="40" s="1"/>
  <c r="F25" i="40"/>
  <c r="J25" i="40" s="1"/>
  <c r="F24" i="40"/>
  <c r="F70" i="44"/>
  <c r="J70" i="44" s="1"/>
  <c r="F38" i="44"/>
  <c r="J38" i="44" s="1"/>
  <c r="F37" i="44"/>
  <c r="J37" i="44" s="1"/>
  <c r="F27" i="44"/>
  <c r="J27" i="44" s="1"/>
  <c r="F30" i="44"/>
  <c r="J30" i="44" s="1"/>
  <c r="F26" i="44"/>
  <c r="C31" i="53"/>
  <c r="F31" i="53" s="1"/>
  <c r="F61" i="37"/>
  <c r="J61" i="37" s="1"/>
  <c r="F25" i="37"/>
  <c r="J25" i="37" s="1"/>
  <c r="F24" i="37"/>
  <c r="F58" i="33"/>
  <c r="J58" i="33" s="1"/>
  <c r="F24" i="33"/>
  <c r="J24" i="33" s="1"/>
  <c r="F23" i="33"/>
  <c r="F52" i="34"/>
  <c r="J52" i="34" s="1"/>
  <c r="F24" i="34"/>
  <c r="J24" i="34" s="1"/>
  <c r="F23" i="34"/>
  <c r="F65" i="38"/>
  <c r="J65" i="38" s="1"/>
  <c r="F28" i="38"/>
  <c r="J28" i="38" s="1"/>
  <c r="F25" i="38"/>
  <c r="J25" i="38" s="1"/>
  <c r="F24" i="38"/>
  <c r="J60" i="44"/>
  <c r="F71" i="46"/>
  <c r="J71" i="46" s="1"/>
  <c r="F25" i="46"/>
  <c r="J25" i="46" s="1"/>
  <c r="F28" i="46"/>
  <c r="J28" i="46" s="1"/>
  <c r="F24" i="46"/>
  <c r="C18" i="48"/>
  <c r="F18" i="48" s="1"/>
  <c r="F22" i="48" s="1"/>
  <c r="C46" i="48"/>
  <c r="F46" i="48" s="1"/>
  <c r="C31" i="48"/>
  <c r="C28" i="52"/>
  <c r="F28" i="52" s="1"/>
  <c r="M74" i="56"/>
  <c r="M78" i="56" s="1"/>
  <c r="M416" i="56" s="1"/>
  <c r="M336" i="56"/>
  <c r="J60" i="43"/>
  <c r="F21" i="49"/>
  <c r="C44" i="49"/>
  <c r="F44" i="49" s="1"/>
  <c r="C30" i="49"/>
  <c r="F68" i="47"/>
  <c r="J68" i="47" s="1"/>
  <c r="F27" i="47"/>
  <c r="J27" i="47" s="1"/>
  <c r="F26" i="47"/>
  <c r="F30" i="47"/>
  <c r="J30" i="47" s="1"/>
  <c r="C26" i="50"/>
  <c r="C39" i="50"/>
  <c r="F39" i="50" s="1"/>
  <c r="C39" i="51"/>
  <c r="F39" i="51" s="1"/>
  <c r="C26" i="51"/>
  <c r="C27" i="55"/>
  <c r="F27" i="55" s="1"/>
  <c r="M130" i="56"/>
  <c r="F4" i="7"/>
  <c r="E4" i="7"/>
  <c r="C96" i="55"/>
  <c r="F96" i="55" s="1"/>
  <c r="C15" i="55"/>
  <c r="F15" i="55" s="1"/>
  <c r="F16" i="55" s="1"/>
  <c r="F68" i="54"/>
  <c r="C92" i="54"/>
  <c r="C95" i="54" s="1"/>
  <c r="F8" i="53"/>
  <c r="F10" i="53" s="1"/>
  <c r="C19" i="53"/>
  <c r="F19" i="53" s="1"/>
  <c r="F20" i="53" s="1"/>
  <c r="F78" i="52"/>
  <c r="F8" i="52"/>
  <c r="F10" i="52" s="1"/>
  <c r="C15" i="52"/>
  <c r="F15" i="52" s="1"/>
  <c r="F17" i="52" s="1"/>
  <c r="F8" i="51"/>
  <c r="F10" i="51" s="1"/>
  <c r="C16" i="51"/>
  <c r="F16" i="51" s="1"/>
  <c r="F17" i="51" s="1"/>
  <c r="F8" i="50"/>
  <c r="F10" i="50" s="1"/>
  <c r="C15" i="50"/>
  <c r="F15" i="50" s="1"/>
  <c r="F17" i="50" s="1"/>
  <c r="F8" i="49"/>
  <c r="F10" i="49" s="1"/>
  <c r="C99" i="49"/>
  <c r="C102" i="49" s="1"/>
  <c r="F102" i="49" s="1"/>
  <c r="F8" i="48"/>
  <c r="F10" i="48" s="1"/>
  <c r="F85" i="48"/>
  <c r="F67" i="46"/>
  <c r="J67" i="46" s="1"/>
  <c r="F66" i="45"/>
  <c r="J66" i="45" s="1"/>
  <c r="F66" i="44"/>
  <c r="J66" i="44" s="1"/>
  <c r="F60" i="41"/>
  <c r="J60" i="41" s="1"/>
  <c r="F62" i="41"/>
  <c r="J62" i="41" s="1"/>
  <c r="F63" i="40"/>
  <c r="J63" i="40" s="1"/>
  <c r="F60" i="35"/>
  <c r="J60" i="35" s="1"/>
  <c r="F66" i="47"/>
  <c r="J66" i="47" s="1"/>
  <c r="J61" i="46"/>
  <c r="F69" i="46"/>
  <c r="J69" i="46" s="1"/>
  <c r="F68" i="44"/>
  <c r="J68" i="44" s="1"/>
  <c r="F61" i="42"/>
  <c r="J61" i="42" s="1"/>
  <c r="F63" i="42"/>
  <c r="J63" i="42" s="1"/>
  <c r="F60" i="39"/>
  <c r="J60" i="39" s="1"/>
  <c r="F62" i="39"/>
  <c r="J62" i="39" s="1"/>
  <c r="F61" i="38"/>
  <c r="J61" i="38" s="1"/>
  <c r="F63" i="38"/>
  <c r="J63" i="38" s="1"/>
  <c r="F59" i="36"/>
  <c r="J59" i="36" s="1"/>
  <c r="F56" i="34"/>
  <c r="J56" i="34" s="1"/>
  <c r="F62" i="33"/>
  <c r="J62" i="33" s="1"/>
  <c r="F60" i="33"/>
  <c r="J60" i="33" s="1"/>
  <c r="F71" i="55"/>
  <c r="F8" i="55"/>
  <c r="F10" i="55" s="1"/>
  <c r="F79" i="55"/>
  <c r="C82" i="54"/>
  <c r="F82" i="54" s="1"/>
  <c r="F53" i="54"/>
  <c r="F8" i="54"/>
  <c r="F10" i="54" s="1"/>
  <c r="F13" i="54" s="1"/>
  <c r="F78" i="53"/>
  <c r="C111" i="53"/>
  <c r="F83" i="53"/>
  <c r="F90" i="52"/>
  <c r="F73" i="51"/>
  <c r="F83" i="52"/>
  <c r="C115" i="52"/>
  <c r="F85" i="51"/>
  <c r="C96" i="51"/>
  <c r="F77" i="50"/>
  <c r="F82" i="50"/>
  <c r="C109" i="50"/>
  <c r="F80" i="49"/>
  <c r="F89" i="49"/>
  <c r="C128" i="48"/>
  <c r="F90" i="48"/>
  <c r="F120" i="48" s="1"/>
  <c r="J9" i="47"/>
  <c r="J17" i="47" s="1"/>
  <c r="F62" i="47"/>
  <c r="J62" i="47" s="1"/>
  <c r="F64" i="47"/>
  <c r="J64" i="47" s="1"/>
  <c r="F65" i="46"/>
  <c r="J65" i="46" s="1"/>
  <c r="J9" i="46"/>
  <c r="J17" i="46" s="1"/>
  <c r="F64" i="45"/>
  <c r="J64" i="45" s="1"/>
  <c r="F68" i="45"/>
  <c r="J68" i="45" s="1"/>
  <c r="J9" i="45"/>
  <c r="J17" i="45" s="1"/>
  <c r="F64" i="44"/>
  <c r="J64" i="44" s="1"/>
  <c r="J9" i="44"/>
  <c r="J17" i="44" s="1"/>
  <c r="J9" i="43"/>
  <c r="J17" i="43" s="1"/>
  <c r="F66" i="43"/>
  <c r="J66" i="43" s="1"/>
  <c r="F64" i="43"/>
  <c r="J64" i="43" s="1"/>
  <c r="F68" i="43"/>
  <c r="J68" i="43" s="1"/>
  <c r="J9" i="42"/>
  <c r="J17" i="42" s="1"/>
  <c r="F59" i="42"/>
  <c r="J59" i="42" s="1"/>
  <c r="J9" i="41"/>
  <c r="J17" i="41" s="1"/>
  <c r="F58" i="41"/>
  <c r="J58" i="41" s="1"/>
  <c r="F59" i="40"/>
  <c r="J59" i="40" s="1"/>
  <c r="J9" i="40"/>
  <c r="J17" i="40" s="1"/>
  <c r="F61" i="40"/>
  <c r="J61" i="40" s="1"/>
  <c r="F58" i="39"/>
  <c r="J58" i="39" s="1"/>
  <c r="J9" i="39"/>
  <c r="J17" i="39" s="1"/>
  <c r="J9" i="38"/>
  <c r="J17" i="38" s="1"/>
  <c r="F59" i="38"/>
  <c r="J59" i="38" s="1"/>
  <c r="J9" i="37"/>
  <c r="J17" i="37" s="1"/>
  <c r="F57" i="37"/>
  <c r="J57" i="37" s="1"/>
  <c r="F55" i="37"/>
  <c r="J55" i="37" s="1"/>
  <c r="F59" i="37"/>
  <c r="J59" i="37" s="1"/>
  <c r="J9" i="36"/>
  <c r="J17" i="36" s="1"/>
  <c r="F57" i="36"/>
  <c r="J57" i="36" s="1"/>
  <c r="F61" i="36"/>
  <c r="J61" i="36" s="1"/>
  <c r="J9" i="35"/>
  <c r="J17" i="35" s="1"/>
  <c r="F58" i="35"/>
  <c r="J58" i="35" s="1"/>
  <c r="F62" i="35"/>
  <c r="J62" i="35" s="1"/>
  <c r="F54" i="34"/>
  <c r="J54" i="34" s="1"/>
  <c r="J9" i="34"/>
  <c r="J17" i="34" s="1"/>
  <c r="F58" i="34"/>
  <c r="J58" i="34" s="1"/>
  <c r="F56" i="33"/>
  <c r="J56" i="33" s="1"/>
  <c r="J9" i="33"/>
  <c r="J17" i="33" s="1"/>
  <c r="M41" i="31"/>
  <c r="M39" i="31" s="1"/>
  <c r="M35" i="31" s="1"/>
  <c r="D7" i="32" s="1"/>
  <c r="M11" i="29"/>
  <c r="F22" i="31"/>
  <c r="M22" i="31" s="1"/>
  <c r="M21" i="31" s="1"/>
  <c r="M28" i="31"/>
  <c r="M25" i="31" s="1"/>
  <c r="M24" i="31" s="1"/>
  <c r="M10" i="31"/>
  <c r="M8" i="31" s="1"/>
  <c r="M5" i="29"/>
  <c r="M38" i="29"/>
  <c r="F21" i="29"/>
  <c r="M21" i="29" s="1"/>
  <c r="M27" i="29"/>
  <c r="M24" i="29" s="1"/>
  <c r="M23" i="29" s="1"/>
  <c r="M35" i="29"/>
  <c r="M19" i="29"/>
  <c r="M18" i="29" s="1"/>
  <c r="M15" i="29"/>
  <c r="M14" i="29" s="1"/>
  <c r="F75" i="28"/>
  <c r="J75" i="28" s="1"/>
  <c r="J65" i="28"/>
  <c r="J62" i="28"/>
  <c r="J56" i="28"/>
  <c r="J59" i="28"/>
  <c r="J53" i="28"/>
  <c r="F38" i="28"/>
  <c r="J38" i="28" s="1"/>
  <c r="F37" i="28"/>
  <c r="J37" i="28" s="1"/>
  <c r="F27" i="28"/>
  <c r="J27" i="28" s="1"/>
  <c r="F26" i="28"/>
  <c r="J26" i="28" s="1"/>
  <c r="F23" i="28"/>
  <c r="J23" i="28" s="1"/>
  <c r="F9" i="28"/>
  <c r="F49" i="28" s="1"/>
  <c r="J49" i="28" s="1"/>
  <c r="F11" i="28"/>
  <c r="J11" i="28" s="1"/>
  <c r="F34" i="28"/>
  <c r="J34" i="28" s="1"/>
  <c r="F32" i="28"/>
  <c r="J32" i="28" s="1"/>
  <c r="J15" i="28"/>
  <c r="J13" i="28"/>
  <c r="E9" i="28"/>
  <c r="F68" i="26"/>
  <c r="J68" i="26" s="1"/>
  <c r="J67" i="26"/>
  <c r="J64" i="26"/>
  <c r="F82" i="27"/>
  <c r="J82" i="27" s="1"/>
  <c r="J81" i="27"/>
  <c r="F78" i="27"/>
  <c r="J78" i="27" s="1"/>
  <c r="J77" i="27"/>
  <c r="J74" i="27"/>
  <c r="J71" i="27"/>
  <c r="F67" i="27"/>
  <c r="J67" i="27" s="1"/>
  <c r="F40" i="27"/>
  <c r="J40" i="27" s="1"/>
  <c r="F34" i="27"/>
  <c r="J34" i="27" s="1"/>
  <c r="F32" i="27"/>
  <c r="J30" i="27"/>
  <c r="J27" i="27"/>
  <c r="J26" i="27"/>
  <c r="F23" i="27"/>
  <c r="J23" i="27" s="1"/>
  <c r="F11" i="27"/>
  <c r="J11" i="27" s="1"/>
  <c r="F9" i="27"/>
  <c r="F89" i="27" s="1"/>
  <c r="J89" i="27" s="1"/>
  <c r="J91" i="27"/>
  <c r="J63" i="27"/>
  <c r="F59" i="27"/>
  <c r="J59" i="27" s="1"/>
  <c r="F56" i="27"/>
  <c r="J56" i="27" s="1"/>
  <c r="F52" i="27"/>
  <c r="J52" i="27" s="1"/>
  <c r="F49" i="27"/>
  <c r="J49" i="27" s="1"/>
  <c r="J13" i="27"/>
  <c r="E9" i="27"/>
  <c r="J61" i="26"/>
  <c r="F58" i="26"/>
  <c r="J58" i="26" s="1"/>
  <c r="F55" i="26"/>
  <c r="J55" i="26" s="1"/>
  <c r="F51" i="26"/>
  <c r="J51" i="26" s="1"/>
  <c r="F48" i="26"/>
  <c r="J48" i="26" s="1"/>
  <c r="F33" i="26"/>
  <c r="J33" i="26" s="1"/>
  <c r="F31" i="26"/>
  <c r="F11" i="26"/>
  <c r="J11" i="26" s="1"/>
  <c r="F9" i="26"/>
  <c r="J79" i="26"/>
  <c r="J26" i="26"/>
  <c r="J25" i="26"/>
  <c r="J13" i="26"/>
  <c r="E9" i="26"/>
  <c r="F9" i="25"/>
  <c r="F51" i="25" s="1"/>
  <c r="J51" i="25" s="1"/>
  <c r="F37" i="24"/>
  <c r="J37" i="24" s="1"/>
  <c r="F9" i="24"/>
  <c r="F43" i="24" s="1"/>
  <c r="J43" i="24" s="1"/>
  <c r="F33" i="24"/>
  <c r="J33" i="24" s="1"/>
  <c r="F28" i="25"/>
  <c r="J28" i="25" s="1"/>
  <c r="F26" i="25"/>
  <c r="J55" i="25"/>
  <c r="J46" i="25"/>
  <c r="J43" i="25"/>
  <c r="J24" i="25"/>
  <c r="J23" i="25"/>
  <c r="J15" i="25"/>
  <c r="J13" i="25"/>
  <c r="J11" i="25"/>
  <c r="E9" i="25"/>
  <c r="J47" i="24"/>
  <c r="J25" i="24"/>
  <c r="J23" i="24"/>
  <c r="J15" i="24"/>
  <c r="J13" i="24"/>
  <c r="J11" i="24"/>
  <c r="E9" i="24"/>
  <c r="J51" i="11"/>
  <c r="F37" i="53" l="1"/>
  <c r="F34" i="52"/>
  <c r="F19" i="52"/>
  <c r="J73" i="46"/>
  <c r="J72" i="44"/>
  <c r="J67" i="42"/>
  <c r="J66" i="39"/>
  <c r="J67" i="28"/>
  <c r="J67" i="38"/>
  <c r="J64" i="33"/>
  <c r="J39" i="24"/>
  <c r="F33" i="55"/>
  <c r="F18" i="55"/>
  <c r="C51" i="55"/>
  <c r="F51" i="55" s="1"/>
  <c r="F56" i="55" s="1"/>
  <c r="C99" i="55"/>
  <c r="F99" i="55" s="1"/>
  <c r="F56" i="54"/>
  <c r="F58" i="54" s="1"/>
  <c r="F87" i="54"/>
  <c r="F92" i="54"/>
  <c r="C52" i="53"/>
  <c r="F52" i="53" s="1"/>
  <c r="F57" i="53" s="1"/>
  <c r="F22" i="53"/>
  <c r="F19" i="51"/>
  <c r="F19" i="50"/>
  <c r="F23" i="49"/>
  <c r="F24" i="48"/>
  <c r="F8" i="58"/>
  <c r="F9" i="58" s="1"/>
  <c r="M418" i="56"/>
  <c r="M420" i="56"/>
  <c r="E15" i="7"/>
  <c r="M20" i="29"/>
  <c r="M13" i="29" s="1"/>
  <c r="M8" i="29"/>
  <c r="M4" i="29" s="1"/>
  <c r="D4" i="30" s="1"/>
  <c r="M13" i="31"/>
  <c r="D5" i="32" s="1"/>
  <c r="J31" i="26"/>
  <c r="F36" i="26"/>
  <c r="F37" i="26"/>
  <c r="J37" i="26" s="1"/>
  <c r="J32" i="27"/>
  <c r="F37" i="27"/>
  <c r="J37" i="27" s="1"/>
  <c r="F38" i="27"/>
  <c r="J38" i="27" s="1"/>
  <c r="J67" i="40"/>
  <c r="J70" i="47"/>
  <c r="J71" i="26"/>
  <c r="F91" i="55"/>
  <c r="C48" i="51"/>
  <c r="F48" i="51" s="1"/>
  <c r="C27" i="51"/>
  <c r="F27" i="51" s="1"/>
  <c r="C28" i="51"/>
  <c r="F28" i="51" s="1"/>
  <c r="J60" i="34"/>
  <c r="F42" i="44"/>
  <c r="J42" i="44" s="1"/>
  <c r="J26" i="44"/>
  <c r="F36" i="39"/>
  <c r="J36" i="39" s="1"/>
  <c r="F35" i="39"/>
  <c r="J35" i="39" s="1"/>
  <c r="J24" i="39"/>
  <c r="J66" i="41"/>
  <c r="J72" i="45"/>
  <c r="C53" i="49"/>
  <c r="F53" i="49" s="1"/>
  <c r="C32" i="49"/>
  <c r="F32" i="49" s="1"/>
  <c r="C31" i="49"/>
  <c r="F31" i="49" s="1"/>
  <c r="F31" i="33"/>
  <c r="J31" i="33" s="1"/>
  <c r="F32" i="33"/>
  <c r="J32" i="33" s="1"/>
  <c r="J23" i="33"/>
  <c r="F37" i="45"/>
  <c r="J37" i="45" s="1"/>
  <c r="F38" i="45"/>
  <c r="J38" i="45" s="1"/>
  <c r="J26" i="45"/>
  <c r="F36" i="41"/>
  <c r="J36" i="41" s="1"/>
  <c r="F35" i="41"/>
  <c r="J35" i="41" s="1"/>
  <c r="F39" i="41"/>
  <c r="J39" i="41" s="1"/>
  <c r="J24" i="41"/>
  <c r="F30" i="28"/>
  <c r="J30" i="28" s="1"/>
  <c r="J72" i="43"/>
  <c r="J26" i="25"/>
  <c r="F32" i="25"/>
  <c r="J32" i="25" s="1"/>
  <c r="F31" i="25"/>
  <c r="F40" i="28"/>
  <c r="J40" i="28" s="1"/>
  <c r="J63" i="37"/>
  <c r="C55" i="48"/>
  <c r="F55" i="48" s="1"/>
  <c r="C32" i="48"/>
  <c r="F32" i="48" s="1"/>
  <c r="C59" i="48"/>
  <c r="F59" i="48" s="1"/>
  <c r="C33" i="48"/>
  <c r="F33" i="48" s="1"/>
  <c r="F36" i="38"/>
  <c r="J36" i="38" s="1"/>
  <c r="F35" i="38"/>
  <c r="J35" i="38" s="1"/>
  <c r="J24" i="38"/>
  <c r="C48" i="50"/>
  <c r="F48" i="50" s="1"/>
  <c r="C28" i="50"/>
  <c r="F28" i="50" s="1"/>
  <c r="C27" i="50"/>
  <c r="F27" i="50" s="1"/>
  <c r="F34" i="50" s="1"/>
  <c r="F33" i="36"/>
  <c r="J33" i="36" s="1"/>
  <c r="F32" i="36"/>
  <c r="J32" i="36" s="1"/>
  <c r="F35" i="36"/>
  <c r="J35" i="36" s="1"/>
  <c r="J24" i="36"/>
  <c r="J26" i="43"/>
  <c r="J44" i="43" s="1"/>
  <c r="F42" i="43"/>
  <c r="J42" i="43" s="1"/>
  <c r="F32" i="37"/>
  <c r="J32" i="37" s="1"/>
  <c r="F33" i="37"/>
  <c r="J33" i="37" s="1"/>
  <c r="J24" i="37"/>
  <c r="J63" i="36"/>
  <c r="F34" i="35"/>
  <c r="J34" i="35" s="1"/>
  <c r="F33" i="35"/>
  <c r="J33" i="35" s="1"/>
  <c r="J24" i="35"/>
  <c r="M467" i="56"/>
  <c r="M475" i="56" s="1"/>
  <c r="M479" i="56" s="1"/>
  <c r="M8" i="56" s="1"/>
  <c r="F36" i="46"/>
  <c r="J36" i="46" s="1"/>
  <c r="F35" i="46"/>
  <c r="J35" i="46" s="1"/>
  <c r="J24" i="46"/>
  <c r="F36" i="42"/>
  <c r="J36" i="42" s="1"/>
  <c r="F35" i="42"/>
  <c r="J35" i="42" s="1"/>
  <c r="J24" i="42"/>
  <c r="F38" i="47"/>
  <c r="J38" i="47" s="1"/>
  <c r="F37" i="47"/>
  <c r="J37" i="47" s="1"/>
  <c r="J26" i="47"/>
  <c r="F31" i="34"/>
  <c r="J31" i="34" s="1"/>
  <c r="F30" i="34"/>
  <c r="J30" i="34" s="1"/>
  <c r="J23" i="34"/>
  <c r="F35" i="40"/>
  <c r="J35" i="40" s="1"/>
  <c r="F36" i="40"/>
  <c r="J36" i="40" s="1"/>
  <c r="J24" i="40"/>
  <c r="F46" i="52"/>
  <c r="C52" i="52"/>
  <c r="F52" i="52" s="1"/>
  <c r="J64" i="35"/>
  <c r="C14" i="7"/>
  <c r="G40" i="57"/>
  <c r="G41" i="57" s="1"/>
  <c r="F106" i="53"/>
  <c r="F91" i="51"/>
  <c r="F104" i="50"/>
  <c r="F99" i="49"/>
  <c r="F104" i="49" s="1"/>
  <c r="F94" i="49"/>
  <c r="J83" i="27"/>
  <c r="F45" i="24"/>
  <c r="J45" i="24" s="1"/>
  <c r="J9" i="24"/>
  <c r="J17" i="24" s="1"/>
  <c r="F49" i="24"/>
  <c r="J49" i="24" s="1"/>
  <c r="M4" i="31"/>
  <c r="D4" i="32" s="1"/>
  <c r="D6" i="30"/>
  <c r="F95" i="54"/>
  <c r="C114" i="53"/>
  <c r="F111" i="53"/>
  <c r="F110" i="52"/>
  <c r="C118" i="52"/>
  <c r="F115" i="52"/>
  <c r="C99" i="51"/>
  <c r="F96" i="51"/>
  <c r="C112" i="50"/>
  <c r="F109" i="50"/>
  <c r="F128" i="48"/>
  <c r="D6" i="32"/>
  <c r="M34" i="29"/>
  <c r="D7" i="30" s="1"/>
  <c r="F42" i="28"/>
  <c r="J42" i="28" s="1"/>
  <c r="F71" i="28"/>
  <c r="J71" i="28" s="1"/>
  <c r="F73" i="28"/>
  <c r="J73" i="28" s="1"/>
  <c r="J9" i="28"/>
  <c r="J17" i="28" s="1"/>
  <c r="F75" i="26"/>
  <c r="J75" i="26" s="1"/>
  <c r="F77" i="26"/>
  <c r="J77" i="26" s="1"/>
  <c r="J9" i="26"/>
  <c r="J16" i="26" s="1"/>
  <c r="F42" i="27"/>
  <c r="J42" i="27" s="1"/>
  <c r="F87" i="27"/>
  <c r="J87" i="27" s="1"/>
  <c r="F93" i="27"/>
  <c r="J93" i="27" s="1"/>
  <c r="J9" i="27"/>
  <c r="J17" i="27" s="1"/>
  <c r="F81" i="26"/>
  <c r="J81" i="26" s="1"/>
  <c r="J9" i="25"/>
  <c r="J17" i="25" s="1"/>
  <c r="F53" i="25"/>
  <c r="J53" i="25" s="1"/>
  <c r="F40" i="25"/>
  <c r="J40" i="25" s="1"/>
  <c r="J48" i="25" s="1"/>
  <c r="J28" i="24"/>
  <c r="F63" i="11"/>
  <c r="F59" i="11"/>
  <c r="F57" i="11"/>
  <c r="F14" i="21"/>
  <c r="F17" i="21"/>
  <c r="M29" i="16"/>
  <c r="M28" i="16"/>
  <c r="F26" i="16"/>
  <c r="M26" i="16" s="1"/>
  <c r="M25" i="16"/>
  <c r="M27" i="16"/>
  <c r="M24" i="16"/>
  <c r="F19" i="16"/>
  <c r="F20" i="16" s="1"/>
  <c r="F14" i="16"/>
  <c r="F17" i="16"/>
  <c r="M68" i="1"/>
  <c r="M69" i="1"/>
  <c r="M70" i="1"/>
  <c r="M71" i="1"/>
  <c r="M72" i="1"/>
  <c r="M73" i="1"/>
  <c r="M74" i="1"/>
  <c r="M75" i="1"/>
  <c r="M79" i="1"/>
  <c r="M80" i="1"/>
  <c r="F60" i="53" l="1"/>
  <c r="F62" i="53" s="1"/>
  <c r="J44" i="27"/>
  <c r="J44" i="28"/>
  <c r="J41" i="41"/>
  <c r="F32" i="34"/>
  <c r="J32" i="34" s="1"/>
  <c r="J34" i="34" s="1"/>
  <c r="F36" i="33"/>
  <c r="J36" i="33" s="1"/>
  <c r="J38" i="33" s="1"/>
  <c r="J51" i="24"/>
  <c r="F59" i="55"/>
  <c r="F61" i="55" s="1"/>
  <c r="F97" i="54"/>
  <c r="C54" i="51"/>
  <c r="F54" i="51" s="1"/>
  <c r="F59" i="51" s="1"/>
  <c r="F39" i="49"/>
  <c r="F64" i="48"/>
  <c r="J83" i="26"/>
  <c r="J78" i="28"/>
  <c r="M425" i="56"/>
  <c r="M431" i="56" s="1"/>
  <c r="M434" i="56" s="1"/>
  <c r="M6" i="56" s="1"/>
  <c r="M12" i="56" s="1"/>
  <c r="C13" i="7" s="1"/>
  <c r="F13" i="7" s="1"/>
  <c r="F57" i="52"/>
  <c r="F60" i="52" s="1"/>
  <c r="F62" i="52" s="1"/>
  <c r="F39" i="42"/>
  <c r="J39" i="42" s="1"/>
  <c r="F35" i="37"/>
  <c r="J35" i="37" s="1"/>
  <c r="J37" i="37" s="1"/>
  <c r="C51" i="50"/>
  <c r="F51" i="50" s="1"/>
  <c r="F56" i="50" s="1"/>
  <c r="F59" i="50" s="1"/>
  <c r="F61" i="50" s="1"/>
  <c r="M23" i="16"/>
  <c r="M22" i="16" s="1"/>
  <c r="F39" i="40"/>
  <c r="J39" i="40" s="1"/>
  <c r="J41" i="40" s="1"/>
  <c r="F41" i="47"/>
  <c r="J41" i="47" s="1"/>
  <c r="J43" i="47" s="1"/>
  <c r="F38" i="39"/>
  <c r="J38" i="39" s="1"/>
  <c r="J40" i="39" s="1"/>
  <c r="F34" i="51"/>
  <c r="F36" i="35"/>
  <c r="J36" i="35" s="1"/>
  <c r="J38" i="35" s="1"/>
  <c r="F41" i="48"/>
  <c r="F42" i="45"/>
  <c r="J42" i="45" s="1"/>
  <c r="J44" i="45" s="1"/>
  <c r="J31" i="25"/>
  <c r="F34" i="25"/>
  <c r="J34" i="25" s="1"/>
  <c r="F14" i="7"/>
  <c r="E14" i="7"/>
  <c r="F40" i="46"/>
  <c r="J40" i="46" s="1"/>
  <c r="J42" i="46" s="1"/>
  <c r="C59" i="49"/>
  <c r="F59" i="49" s="1"/>
  <c r="F64" i="49" s="1"/>
  <c r="F41" i="26"/>
  <c r="J41" i="26" s="1"/>
  <c r="J36" i="26"/>
  <c r="J95" i="27"/>
  <c r="J41" i="42"/>
  <c r="J37" i="36"/>
  <c r="F39" i="38"/>
  <c r="J39" i="38" s="1"/>
  <c r="J41" i="38" s="1"/>
  <c r="J44" i="44"/>
  <c r="F130" i="48"/>
  <c r="D6" i="12"/>
  <c r="D4" i="12"/>
  <c r="J59" i="25"/>
  <c r="F101" i="55"/>
  <c r="F114" i="53"/>
  <c r="F118" i="52"/>
  <c r="F99" i="51"/>
  <c r="F101" i="51" s="1"/>
  <c r="F112" i="50"/>
  <c r="F114" i="50" s="1"/>
  <c r="F67" i="49" l="1"/>
  <c r="F69" i="49" s="1"/>
  <c r="J43" i="26"/>
  <c r="F62" i="51"/>
  <c r="F64" i="51" s="1"/>
  <c r="F67" i="48"/>
  <c r="F69" i="48" s="1"/>
  <c r="E13" i="7"/>
  <c r="M13" i="56"/>
  <c r="M15" i="56" s="1"/>
  <c r="D5" i="12"/>
  <c r="J36" i="25"/>
  <c r="D7" i="12"/>
  <c r="F116" i="53"/>
  <c r="F120" i="52"/>
  <c r="D5" i="30"/>
  <c r="D8" i="30" s="1"/>
  <c r="D8" i="32"/>
  <c r="C9" i="7" s="1"/>
  <c r="F63" i="1"/>
  <c r="M59" i="1"/>
  <c r="F49" i="1"/>
  <c r="F52" i="1" s="1"/>
  <c r="M50" i="1"/>
  <c r="F57" i="1"/>
  <c r="M56" i="1"/>
  <c r="F45" i="1"/>
  <c r="F44" i="1"/>
  <c r="F37" i="1"/>
  <c r="F40" i="1"/>
  <c r="F36" i="1"/>
  <c r="F35" i="1"/>
  <c r="F9" i="7" l="1"/>
  <c r="E9" i="7"/>
  <c r="D9" i="30"/>
  <c r="C8" i="7"/>
  <c r="D10" i="30"/>
  <c r="D10" i="32"/>
  <c r="D9" i="32"/>
  <c r="M27" i="1"/>
  <c r="M24" i="1" s="1"/>
  <c r="F18" i="1"/>
  <c r="F21" i="1"/>
  <c r="F13" i="1"/>
  <c r="F41" i="1" s="1"/>
  <c r="M11" i="1"/>
  <c r="M10" i="1"/>
  <c r="F8" i="7" l="1"/>
  <c r="E8" i="7"/>
  <c r="F39" i="1"/>
  <c r="C57" i="23"/>
  <c r="M14" i="16"/>
  <c r="F75" i="23" l="1"/>
  <c r="F95" i="23"/>
  <c r="F97" i="23"/>
  <c r="F100" i="23"/>
  <c r="F106" i="23"/>
  <c r="F108" i="23"/>
  <c r="F110" i="23"/>
  <c r="F111" i="23"/>
  <c r="C91" i="23"/>
  <c r="F91" i="23" s="1"/>
  <c r="F57" i="23"/>
  <c r="Z38" i="23"/>
  <c r="Y38" i="23"/>
  <c r="X38" i="23"/>
  <c r="W38" i="23"/>
  <c r="V38" i="23"/>
  <c r="U38" i="23"/>
  <c r="T38" i="23"/>
  <c r="S38" i="23"/>
  <c r="R38" i="23"/>
  <c r="Q38" i="23"/>
  <c r="P38" i="23"/>
  <c r="O38" i="23"/>
  <c r="N38" i="23"/>
  <c r="M38" i="23"/>
  <c r="L38" i="23"/>
  <c r="C125" i="23"/>
  <c r="C128" i="23" s="1"/>
  <c r="F118" i="23"/>
  <c r="F94" i="23"/>
  <c r="F88" i="23"/>
  <c r="F81" i="23"/>
  <c r="F78" i="23"/>
  <c r="F72" i="23"/>
  <c r="F60" i="23"/>
  <c r="F54" i="23"/>
  <c r="F51" i="23"/>
  <c r="F48" i="23"/>
  <c r="C33" i="23"/>
  <c r="F33" i="23" s="1"/>
  <c r="C32" i="23"/>
  <c r="F32" i="23" s="1"/>
  <c r="F19" i="23"/>
  <c r="F8" i="23"/>
  <c r="F10" i="23" s="1"/>
  <c r="F120" i="23" l="1"/>
  <c r="F23" i="18" s="1"/>
  <c r="F83" i="23"/>
  <c r="F22" i="18" s="1"/>
  <c r="F42" i="23"/>
  <c r="F128" i="23"/>
  <c r="F125" i="23"/>
  <c r="F22" i="23"/>
  <c r="F24" i="23" s="1"/>
  <c r="F62" i="23"/>
  <c r="F65" i="23" l="1"/>
  <c r="F67" i="23" s="1"/>
  <c r="F21" i="18" s="1"/>
  <c r="F20" i="18"/>
  <c r="F129" i="23"/>
  <c r="F24" i="18" s="1"/>
  <c r="F25" i="18" l="1"/>
  <c r="M14" i="21" l="1"/>
  <c r="M20" i="16"/>
  <c r="M19" i="16"/>
  <c r="M57" i="1"/>
  <c r="M52" i="1"/>
  <c r="M49" i="1"/>
  <c r="M45" i="1"/>
  <c r="M44" i="1"/>
  <c r="M40" i="1"/>
  <c r="M18" i="16" l="1"/>
  <c r="M43" i="1"/>
  <c r="M58" i="1"/>
  <c r="M55" i="1"/>
  <c r="M29" i="1"/>
  <c r="M28" i="1" s="1"/>
  <c r="M16" i="1" s="1"/>
  <c r="M54" i="1" l="1"/>
  <c r="M51" i="1" l="1"/>
  <c r="M48" i="1" s="1"/>
  <c r="M47" i="1" s="1"/>
  <c r="D7" i="5" s="1"/>
  <c r="M63" i="1"/>
  <c r="M62" i="1"/>
  <c r="M61" i="1" l="1"/>
  <c r="M60" i="1" s="1"/>
  <c r="M17" i="21"/>
  <c r="M16" i="21" s="1"/>
  <c r="M15" i="21"/>
  <c r="M13" i="21" s="1"/>
  <c r="M10" i="21"/>
  <c r="M9" i="21"/>
  <c r="M7" i="21"/>
  <c r="M6" i="21"/>
  <c r="M12" i="21" l="1"/>
  <c r="M8" i="21"/>
  <c r="M5" i="21"/>
  <c r="M4" i="21" s="1"/>
  <c r="D4" i="22" l="1"/>
  <c r="D5" i="22"/>
  <c r="J9" i="11"/>
  <c r="J11" i="11"/>
  <c r="J13" i="11"/>
  <c r="J15" i="11"/>
  <c r="J24" i="11"/>
  <c r="J25" i="11"/>
  <c r="J28" i="11"/>
  <c r="J30" i="11"/>
  <c r="J33" i="11"/>
  <c r="J34" i="11"/>
  <c r="F37" i="11"/>
  <c r="J37" i="11" s="1"/>
  <c r="J44" i="11"/>
  <c r="J48" i="11"/>
  <c r="J57" i="11"/>
  <c r="J59" i="11"/>
  <c r="J63" i="11"/>
  <c r="J61" i="11"/>
  <c r="M6" i="16"/>
  <c r="M7" i="16"/>
  <c r="M9" i="16"/>
  <c r="M10" i="16"/>
  <c r="M15" i="16"/>
  <c r="M13" i="16" s="1"/>
  <c r="M17" i="16"/>
  <c r="M16" i="16" s="1"/>
  <c r="M6" i="1"/>
  <c r="M7" i="1"/>
  <c r="M9" i="1"/>
  <c r="M12" i="1"/>
  <c r="M13" i="1"/>
  <c r="M14" i="1"/>
  <c r="M18" i="1"/>
  <c r="M19" i="1"/>
  <c r="M21" i="1"/>
  <c r="M20" i="1" s="1"/>
  <c r="M25" i="1"/>
  <c r="M26" i="1"/>
  <c r="M31" i="1"/>
  <c r="M23" i="1"/>
  <c r="M22" i="1" s="1"/>
  <c r="M35" i="1"/>
  <c r="M36" i="1"/>
  <c r="M37" i="1"/>
  <c r="M39" i="1"/>
  <c r="M41" i="1"/>
  <c r="M67" i="1"/>
  <c r="M78" i="1"/>
  <c r="C10" i="18"/>
  <c r="C6" i="18"/>
  <c r="E9" i="11"/>
  <c r="J39" i="11" l="1"/>
  <c r="M12" i="16"/>
  <c r="J65" i="11"/>
  <c r="D7" i="10" s="1"/>
  <c r="J53" i="11"/>
  <c r="D6" i="10" s="1"/>
  <c r="D6" i="22"/>
  <c r="C7" i="7" s="1"/>
  <c r="M8" i="16"/>
  <c r="M38" i="1"/>
  <c r="M30" i="1"/>
  <c r="M5" i="1"/>
  <c r="M66" i="1"/>
  <c r="M5" i="16"/>
  <c r="D5" i="10"/>
  <c r="M77" i="1"/>
  <c r="M34" i="1"/>
  <c r="M17" i="1"/>
  <c r="M8" i="1"/>
  <c r="J17" i="11"/>
  <c r="D4" i="10" s="1"/>
  <c r="M4" i="1" l="1"/>
  <c r="D4" i="5" s="1"/>
  <c r="M33" i="1"/>
  <c r="M4" i="16"/>
  <c r="D4" i="15" s="1"/>
  <c r="D6" i="15"/>
  <c r="D7" i="22"/>
  <c r="D8" i="22"/>
  <c r="D5" i="15"/>
  <c r="E7" i="7"/>
  <c r="F7" i="7"/>
  <c r="D6" i="5"/>
  <c r="D5" i="5"/>
  <c r="D8" i="10"/>
  <c r="D9" i="10" s="1"/>
  <c r="C10" i="7" s="1"/>
  <c r="M65" i="1"/>
  <c r="D9" i="5" l="1"/>
  <c r="D8" i="5"/>
  <c r="D11" i="10"/>
  <c r="D10" i="10"/>
  <c r="D7" i="15"/>
  <c r="C6" i="7" s="1"/>
  <c r="D8" i="12"/>
  <c r="D9" i="12" s="1"/>
  <c r="C11" i="7" s="1"/>
  <c r="C12" i="7"/>
  <c r="F26" i="18"/>
  <c r="F27" i="18" s="1"/>
  <c r="D10" i="5" l="1"/>
  <c r="D11" i="12"/>
  <c r="D10" i="12"/>
  <c r="D8" i="15"/>
  <c r="D9" i="15"/>
  <c r="E10" i="7"/>
  <c r="F10" i="7"/>
  <c r="E12" i="7"/>
  <c r="F12" i="7"/>
  <c r="C5" i="7" l="1"/>
  <c r="D12" i="5"/>
  <c r="D11" i="5"/>
  <c r="F6" i="7"/>
  <c r="E6" i="7"/>
  <c r="E11" i="7"/>
  <c r="F11" i="7"/>
  <c r="F5" i="7" l="1"/>
  <c r="E5" i="7"/>
  <c r="F16" i="7"/>
  <c r="E16" i="7"/>
  <c r="F1" i="60"/>
  <c r="C17" i="7" s="1"/>
  <c r="C18" i="7" s="1"/>
  <c r="E17" i="7" l="1"/>
  <c r="F17" i="7"/>
  <c r="F18" i="7" s="1"/>
</calcChain>
</file>

<file path=xl/sharedStrings.xml><?xml version="1.0" encoding="utf-8"?>
<sst xmlns="http://schemas.openxmlformats.org/spreadsheetml/2006/main" count="5182" uniqueCount="842">
  <si>
    <t>Vodovod</t>
  </si>
  <si>
    <t>STROJNE INŠTALACIJE IN STROJNA OPREMA</t>
  </si>
  <si>
    <t>SKUPAJ (€):</t>
  </si>
  <si>
    <t>22% DDV (€):</t>
  </si>
  <si>
    <t>SKUPAJ Z 22% DDV (€):</t>
  </si>
  <si>
    <t>kom</t>
  </si>
  <si>
    <t>35 236</t>
  </si>
  <si>
    <t>32 244</t>
  </si>
  <si>
    <t>Zunanji rob pločnika. Dimenzije 8/25 cm.</t>
  </si>
  <si>
    <t>4.1 Globinsko odvodnjavanje - kanalizacija</t>
  </si>
  <si>
    <t>4.2 Jaški</t>
  </si>
  <si>
    <t>43 221</t>
  </si>
  <si>
    <t>Navezava na obstoječi meteorni jašek</t>
  </si>
  <si>
    <t>3.3 Robni elementi vozišč</t>
  </si>
  <si>
    <t>2.4 Brežine in zelenice</t>
  </si>
  <si>
    <t>Izdelava tankoslojne vzdolžne označbe na vozišču z enokomponentno belo barvo, vključno 250 g/m2 posipa z drobci / kroglicami stekla, strojno, debelina plasti suhe snovi 250 mikrometra, širina črte 10 cm</t>
  </si>
  <si>
    <t>S 6 2 121</t>
  </si>
  <si>
    <t>S 6 2 251</t>
  </si>
  <si>
    <t>12 322</t>
  </si>
  <si>
    <t>Porušitev in odstranitev asfaltne plasti v debelini do 10 cm</t>
  </si>
  <si>
    <t/>
  </si>
  <si>
    <r>
      <t xml:space="preserve">Ročno planiranje dna jarka po širini 0,80 m po globinski zakoličbi nivelete s toč. </t>
    </r>
    <r>
      <rPr>
        <sz val="10"/>
        <rFont val="Arial"/>
        <family val="2"/>
        <charset val="238"/>
      </rPr>
      <t>±</t>
    </r>
    <r>
      <rPr>
        <sz val="10"/>
        <rFont val="Arial CE"/>
      </rPr>
      <t xml:space="preserve"> 2 cm.</t>
    </r>
  </si>
  <si>
    <r>
      <t>Strojno - ročni izkop ( 95-5%) mat. III. in IV.  ktg za pripravo jarka za polaganje PVC kanalske cevi, širine dna 0,8, pod kotom 75</t>
    </r>
    <r>
      <rPr>
        <sz val="10"/>
        <rFont val="Arial"/>
        <family val="2"/>
        <charset val="238"/>
      </rPr>
      <t>°</t>
    </r>
    <r>
      <rPr>
        <sz val="10"/>
        <rFont val="Arial CE"/>
      </rPr>
      <t xml:space="preserve"> (široki izkop) povprečne globine 2,00 m z odmetom na rob gradbene jame.                                                      </t>
    </r>
  </si>
  <si>
    <t>135x0,8=108,00</t>
  </si>
  <si>
    <t>Dobava in vgrajevanje peska 0-20 mm, za zasip ob cevi do temena in 30 cm nad temenom, komprimacija do zahtevane zbitosti- prva cona.</t>
  </si>
  <si>
    <t>Strojno - ročni (95 - 5%) zasip jarka kanalizacije z izkopanim materialom III. In IV. kat.s strojnim komprimiranjem s težkimi komprimacijskimi sredstvi v plasteh po 30 cm do zbitosti 100 MPa.(Posebno pozornost posvetiti primerni granulaciji in komprimiranju ob in nad temenom kanalizacijske cevi.)</t>
  </si>
  <si>
    <t>Humuziranje zelenic po končanih delih z dovozom humusa iz stranskih deponij in razplaniranjem v deb. 20 cm in širini 2,50 m ter zatravitev humuniziranih površin s travnim semenom ob dodajanju umetnega gnojila.</t>
  </si>
  <si>
    <t>Strojno nakladanje in odvoz viška materiala na komunalno deponijo v oddaljenosti do 30 km.</t>
  </si>
  <si>
    <t xml:space="preserve">SKUPAJ ZEMELJSKA DELA in zgornji ustroj </t>
  </si>
  <si>
    <t>Kanalizacija - gradbena dela</t>
  </si>
  <si>
    <t>SKUPAJ KANALIZACIJA - gradbena dela</t>
  </si>
  <si>
    <t>Zaključna dela</t>
  </si>
  <si>
    <t>Dobava in polaganje opozorilnega traku "KANALIZACIJA" 30 cm nad temenom kanala.</t>
  </si>
  <si>
    <t>Preizkus vodotesnosti kanalizacije.</t>
  </si>
  <si>
    <t>Preizkus vodotesnost jaškov</t>
  </si>
  <si>
    <t>Snemanje kanala s kamero (upravljavec javne kanalizacije).</t>
  </si>
  <si>
    <t>SKUPAJ ZAKLJUČNA DELA</t>
  </si>
  <si>
    <t>ZEMELJSKA DELA IN ZGORNJI USTROJ</t>
  </si>
  <si>
    <t>KANALIZACIJA - GRADBENA DELA</t>
  </si>
  <si>
    <t>ZAKLJUČNA DELA</t>
  </si>
  <si>
    <t>PROJEKTANTSKI PREDRAČUN - METEORNA KANALIZACIJA</t>
  </si>
  <si>
    <t>PROJEKTANTSKI PREDRAČUN - FEKALNA KANALIZACIJA</t>
  </si>
  <si>
    <t>44 965</t>
  </si>
  <si>
    <t>Dobava in vgraditev pokrova iz duktilne litine z nosilnostjo 20 kN, s prerezom 400/400mm</t>
  </si>
  <si>
    <t>PZI</t>
  </si>
  <si>
    <t>Fekalna kanalizacija</t>
  </si>
  <si>
    <t>Meteorna kanalizacija</t>
  </si>
  <si>
    <t>REKAPITULACIJA - FEKALNA KANALIZACIJA</t>
  </si>
  <si>
    <t>REKAPITULACIJA - METEORNA KANALIZACIJA</t>
  </si>
  <si>
    <t>8.</t>
  </si>
  <si>
    <t>NEPREDVIDENA DELA (10%)</t>
  </si>
  <si>
    <t>št.</t>
  </si>
  <si>
    <t>opis dela</t>
  </si>
  <si>
    <t>mer.
en.</t>
  </si>
  <si>
    <t>količina</t>
  </si>
  <si>
    <t>cena za
enoto (EUR)</t>
  </si>
  <si>
    <t>skupaj (EUR)</t>
  </si>
  <si>
    <t>Preddela</t>
  </si>
  <si>
    <t>1</t>
  </si>
  <si>
    <t>Zakoličba trase projektirane kanalizacije z višinsko navezavo in zavarovanjem zakoličbe.</t>
  </si>
  <si>
    <t>m</t>
  </si>
  <si>
    <t>2</t>
  </si>
  <si>
    <t>Izdelava, postavitev in demontaža 
gradbenih profilov za kanalizacijo na mestih revizijskih jaškov.</t>
  </si>
  <si>
    <t>3</t>
  </si>
  <si>
    <t>- vodovod</t>
  </si>
  <si>
    <t>- telekom kabel in KRS vodi</t>
  </si>
  <si>
    <t>- elektro vodi</t>
  </si>
  <si>
    <t>4</t>
  </si>
  <si>
    <t>5</t>
  </si>
  <si>
    <t>6</t>
  </si>
  <si>
    <t>Črpanje vode iz gradbene jame med izvajanjem prevezave ter drugih del na obstoječi kanalizaciji. Vključno z vsemi pomožnimi deli.</t>
  </si>
  <si>
    <t>ur</t>
  </si>
  <si>
    <t>7</t>
  </si>
  <si>
    <t>8</t>
  </si>
  <si>
    <t>Izvedba navezave na obstoječe jaške</t>
  </si>
  <si>
    <t>SKUPAJ PREDDELA</t>
  </si>
  <si>
    <t>Zemeljska dela in zgornji ustroj</t>
  </si>
  <si>
    <t>Odriv humusa-zemljina I. kategorije v debelini 20 cm in širini pasu 2,5 m z odmetom materiala na stransko deponijo za kasnejšo uporabo</t>
  </si>
  <si>
    <t>strojno 95%</t>
  </si>
  <si>
    <t>ročno 5%</t>
  </si>
  <si>
    <t xml:space="preserve">Izdelava peščene posteljice granulacije 0-20 mm za cevovod s strojnim nabijanjem do potrebne zbitosti in izravnava do točnosti +-0,5 cm. Debelina posteljice je 12,5 cm vključno z dobavo materiala.                                                                             </t>
  </si>
  <si>
    <t>31 133</t>
  </si>
  <si>
    <t>D32</t>
  </si>
  <si>
    <t>31 132</t>
  </si>
  <si>
    <t>Izdelava nevezane nosilne plasti enakomerno zrnatega drobljenca iz kamnine v debelini od 21 do 30 cm</t>
  </si>
  <si>
    <t>D22</t>
  </si>
  <si>
    <t>31 342</t>
  </si>
  <si>
    <t>Izdelava zgornje nosilne plasti bituminiziranega drobljenca zrnavosti 0/22 mm v debelini 6cm</t>
  </si>
  <si>
    <t>32 273</t>
  </si>
  <si>
    <t>32 562</t>
  </si>
  <si>
    <t>36 132</t>
  </si>
  <si>
    <t>Izdelava bankine iz drobljenca, široke 0,51 do 0,75 m</t>
  </si>
  <si>
    <t>43 841</t>
  </si>
  <si>
    <t>6.1 Pokončna oprema cest</t>
  </si>
  <si>
    <t>61 132</t>
  </si>
  <si>
    <t>61 216</t>
  </si>
  <si>
    <t>Dobava in vgraditev stebrička za prometni znak iz vroče cinkane jeklene cevi s premerom 64 mm, dolge 3000 mm</t>
  </si>
  <si>
    <t>6.2 Označbe na cestišču</t>
  </si>
  <si>
    <t>S 6 2 428</t>
  </si>
  <si>
    <t>7.5 Preizkusi, nadzor in tehnična dokumentacija</t>
  </si>
  <si>
    <t>ure</t>
  </si>
  <si>
    <t>61 622</t>
  </si>
  <si>
    <t>5.</t>
  </si>
  <si>
    <t>35 214</t>
  </si>
  <si>
    <t>44 121</t>
  </si>
  <si>
    <t>m2</t>
  </si>
  <si>
    <t>12 211</t>
  </si>
  <si>
    <t>Odstranitev prometnega znaka na enem podstavku</t>
  </si>
  <si>
    <t>m3</t>
  </si>
  <si>
    <t>12 323</t>
  </si>
  <si>
    <t>Porušitev in odstranitev asfaltne plasti v debelini nad 10 cm</t>
  </si>
  <si>
    <t>12 372</t>
  </si>
  <si>
    <t>Rezkanje in odvoz asfaltne krovne plasti v debelini 4 do 7 cm</t>
  </si>
  <si>
    <t>12 383</t>
  </si>
  <si>
    <t>Rezanje asfaltne plasti s talno diamantno žago, debele 11 do 15 cm</t>
  </si>
  <si>
    <t>m1</t>
  </si>
  <si>
    <t>13 311</t>
  </si>
  <si>
    <t>Organizacija gradbišča - postavitev začasnih objektov</t>
  </si>
  <si>
    <t>13 312</t>
  </si>
  <si>
    <t>Organizacija gradbišča - odstranitev začasnih objektov</t>
  </si>
  <si>
    <t>21 113</t>
  </si>
  <si>
    <t>v debelini do 20 cm</t>
  </si>
  <si>
    <t>21 224</t>
  </si>
  <si>
    <t>Široki izkop vezljive zemljine - 3. kategorije - strojno z nakladanjem</t>
  </si>
  <si>
    <t>22 113</t>
  </si>
  <si>
    <t>2.3 Ločilne, drenažne in filtrske plasti ter delovni plato</t>
  </si>
  <si>
    <t>23 313</t>
  </si>
  <si>
    <t>Dobava in vgradnja geotekstilije za ločilno plast, natezna trdnost nad 14 do 16 kN/m2</t>
  </si>
  <si>
    <t>25 112</t>
  </si>
  <si>
    <t>25 151</t>
  </si>
  <si>
    <t>29 121</t>
  </si>
  <si>
    <t>Postavka</t>
  </si>
  <si>
    <t>Količina</t>
  </si>
  <si>
    <t>Opis postavke</t>
  </si>
  <si>
    <t>Opomba postavke</t>
  </si>
  <si>
    <t>Normativ</t>
  </si>
  <si>
    <t xml:space="preserve">Enota </t>
  </si>
  <si>
    <t>Cena za enoto</t>
  </si>
  <si>
    <t>1  PREDDELA</t>
  </si>
  <si>
    <t>1.1 Geodetska dela</t>
  </si>
  <si>
    <t>0001</t>
  </si>
  <si>
    <t>0002</t>
  </si>
  <si>
    <t>0003</t>
  </si>
  <si>
    <t>1.2 Čiščenje terena</t>
  </si>
  <si>
    <t>0004</t>
  </si>
  <si>
    <t>0005</t>
  </si>
  <si>
    <t>0006</t>
  </si>
  <si>
    <t>1.3 Ostala preddela</t>
  </si>
  <si>
    <t>2 ZEMELJSKA DELA</t>
  </si>
  <si>
    <t>2.1 Izkopi</t>
  </si>
  <si>
    <t>Stripping of fertile soil</t>
  </si>
  <si>
    <t>2.2 Planum temeljnih tal</t>
  </si>
  <si>
    <t>Ureditev planuma temeljnih tal zrnate kamnine - 3. kategorije</t>
  </si>
  <si>
    <t>Humuziranje brežine brez valjanja, v debelini do 15 cm - strojno</t>
  </si>
  <si>
    <t>Z dobavo humusa iz začasne deponije.</t>
  </si>
  <si>
    <t>Doplačilo za zatravitev s semenom</t>
  </si>
  <si>
    <t>3 VOZIŠČNE KONSTRUKCIJE</t>
  </si>
  <si>
    <t>3.1 Nosilne plasti</t>
  </si>
  <si>
    <t>Sub-base from asphalt mixture of bituminous 0/16 or 0/16S mm grains of sand in the thickness of 8 cm</t>
  </si>
  <si>
    <t>3.2 Obrabne in zaporne plasti</t>
  </si>
  <si>
    <t>Pobrizg podlage z bitumensko emulzijo 0,4 kg/m2</t>
  </si>
  <si>
    <t>3.3 Bankine</t>
  </si>
  <si>
    <t>6 OPREMA  CEST</t>
  </si>
  <si>
    <t>Izdelava temelja iz cementnega betona C 12/15, globine 100 cm, premera 30 cm</t>
  </si>
  <si>
    <t>7 TUJE STORITVE</t>
  </si>
  <si>
    <t>Skupaj</t>
  </si>
  <si>
    <t>,</t>
  </si>
  <si>
    <t>PROJEKTANTSKI PREDRAČUN</t>
  </si>
  <si>
    <t>SKUPAJ Z DDV</t>
  </si>
  <si>
    <t xml:space="preserve">SKUPAJ </t>
  </si>
  <si>
    <t>TUJE STORITVE</t>
  </si>
  <si>
    <t>7.</t>
  </si>
  <si>
    <t>OPREMA CEST</t>
  </si>
  <si>
    <t>6.</t>
  </si>
  <si>
    <t>VOZIŠČNE KONSTRUKCIJE</t>
  </si>
  <si>
    <t>3.</t>
  </si>
  <si>
    <t>ZEMELJSKA DELA</t>
  </si>
  <si>
    <t>2.</t>
  </si>
  <si>
    <t>PREDDELA</t>
  </si>
  <si>
    <t>1.</t>
  </si>
  <si>
    <t>DDV 22%</t>
  </si>
  <si>
    <t>Iz asfalta; AC 11 surf B 50/70 A4, Z2 (cesta)</t>
  </si>
  <si>
    <t>kpl</t>
  </si>
  <si>
    <t>4 ODVODNJAVANJE</t>
  </si>
  <si>
    <t>Pregled vgrajenih cevi s TV kamero</t>
  </si>
  <si>
    <t>4.</t>
  </si>
  <si>
    <t>ODVODNJAVANJE</t>
  </si>
  <si>
    <t>11 121</t>
  </si>
  <si>
    <t>km</t>
  </si>
  <si>
    <t>11 221</t>
  </si>
  <si>
    <t>kos</t>
  </si>
  <si>
    <t>DDV</t>
  </si>
  <si>
    <t>Vrednost z DDV</t>
  </si>
  <si>
    <t>Vrednost brez DDV</t>
  </si>
  <si>
    <t>22%</t>
  </si>
  <si>
    <t>Vrednost DDV</t>
  </si>
  <si>
    <t>Zap.</t>
  </si>
  <si>
    <t>Predmet</t>
  </si>
  <si>
    <t>SKUPAJ</t>
  </si>
  <si>
    <t>JR</t>
  </si>
  <si>
    <t>Izdelava jaška iz cementnega betona, krožnega prereza s premerom 50 cm, globokega do 1,0 m</t>
  </si>
  <si>
    <t>51 001</t>
  </si>
  <si>
    <t>51 002</t>
  </si>
  <si>
    <t>51 004</t>
  </si>
  <si>
    <t>KONSTRUKCIJE - AB ZID</t>
  </si>
  <si>
    <t>Izdelava obrabne in zaporne plasti bitumenskega betona BB 11 iz zmesi zrn iz silikatnih kamnin in cestogradbenega bitumna v debelini 4 cm</t>
  </si>
  <si>
    <t>Projektantski predračun - cesta CS2 - P1 - cca. 80m</t>
  </si>
  <si>
    <t>Pripravil:</t>
  </si>
  <si>
    <t>Andrej Novak</t>
  </si>
  <si>
    <t>MATRIKA svetovanje d.o.o.</t>
  </si>
  <si>
    <t>Letališka cesta 16</t>
  </si>
  <si>
    <t>1000 Ljubljana</t>
  </si>
  <si>
    <t>2.6 Prevozi, razprostiranje in ureditev deponij materiala</t>
  </si>
  <si>
    <t>2.5 Zasipanje z odkopanim materialom</t>
  </si>
  <si>
    <t>Izdelava obrabne in zaporne plasti bitumenskega betona BB 8 iz zmesi zrn iz silikatnih kamnin in cestogradbenega bitumna v debelini 4 cm</t>
  </si>
  <si>
    <t>25 121</t>
  </si>
  <si>
    <t>Nakladanje, dovoz in zasip z odkopanim materialom iz začasne deponije gradbišča z razgrinjanjem in utrjevanjem v plasteh, obračun po m3 v raščenem stanju</t>
  </si>
  <si>
    <t>5 KONSTRUKCIJE</t>
  </si>
  <si>
    <t>Površinski izkop plodne zemljine 1. kategorije - strojno z odrivom do 100m</t>
  </si>
  <si>
    <t>Obnovitev in zavarovanje zakoličbe osi trase javne ceste v razgibanem terenu</t>
  </si>
  <si>
    <t>Postavitev in zavarovanje prečnega profila ostale javne ceste v razgibanem terenu</t>
  </si>
  <si>
    <t>Oznaka</t>
  </si>
  <si>
    <t>Ime</t>
  </si>
  <si>
    <t>Humus</t>
  </si>
  <si>
    <t>Asfalt</t>
  </si>
  <si>
    <t>Makadam</t>
  </si>
  <si>
    <t>Skupni izkop</t>
  </si>
  <si>
    <t>Izkop 0-2</t>
  </si>
  <si>
    <t>Izkop 2-4</t>
  </si>
  <si>
    <t>Izkop 4-6</t>
  </si>
  <si>
    <t>Izkop 6-8</t>
  </si>
  <si>
    <t>Izkop 8-</t>
  </si>
  <si>
    <t>Skupni zasip</t>
  </si>
  <si>
    <t>Do obstojecega terena</t>
  </si>
  <si>
    <t>Tampon</t>
  </si>
  <si>
    <t>Obsip cevi</t>
  </si>
  <si>
    <t>Posteljica</t>
  </si>
  <si>
    <t>Do bodocega terena</t>
  </si>
  <si>
    <t>Fi</t>
  </si>
  <si>
    <t>Dolžina</t>
  </si>
  <si>
    <t>PVC-U SN8 DN250</t>
  </si>
  <si>
    <t>Opis dela</t>
  </si>
  <si>
    <t>Kolicina</t>
  </si>
  <si>
    <t>Enota</t>
  </si>
  <si>
    <t>Cena na enoto mere</t>
  </si>
  <si>
    <t>Znesek</t>
  </si>
  <si>
    <t>1.1</t>
  </si>
  <si>
    <t>GEODETSKA DELA</t>
  </si>
  <si>
    <t>11 001</t>
  </si>
  <si>
    <t xml:space="preserve">Zakoličba in zavarovanje zakoličene osi cevovoda, lomnih točk </t>
  </si>
  <si>
    <t>GEODETSKA DELA -  SKUPAJ</t>
  </si>
  <si>
    <t>1.2</t>
  </si>
  <si>
    <t>1.3</t>
  </si>
  <si>
    <t>13 002</t>
  </si>
  <si>
    <t xml:space="preserve">Postavitev gradbenih profilov na vzpostavljeno os trase cevovoda ter določitev nivoja za merjenje globine izkopa in polaganje cevovoda </t>
  </si>
  <si>
    <t>ocena</t>
  </si>
  <si>
    <t>OSTALA PRIPRAVLJALNA DELA - SKUPAJ</t>
  </si>
  <si>
    <t>PREDDELA - SKUPAJ</t>
  </si>
  <si>
    <t>2.1</t>
  </si>
  <si>
    <t>IZKOPI</t>
  </si>
  <si>
    <t>Kombiniran izkop jarkov v opaženem izkopu, globine 0-2 m, z odlaganjem izkopanega materiala 1m od roba izkopa.</t>
  </si>
  <si>
    <t>a+b = skupni izkop:</t>
  </si>
  <si>
    <t>21 001</t>
  </si>
  <si>
    <t>a/  zemljina III. kategorije cca. 80%</t>
  </si>
  <si>
    <t>21 002</t>
  </si>
  <si>
    <t>b/  mehka kamnina IV. kategorije cca. 20%</t>
  </si>
  <si>
    <t>IZKOPI - SKUPAJ</t>
  </si>
  <si>
    <t>2.2</t>
  </si>
  <si>
    <t>NASIPI, ZASIPI</t>
  </si>
  <si>
    <t>22 001</t>
  </si>
  <si>
    <t>22 002</t>
  </si>
  <si>
    <t>Izdelava temeljne plasti posteljice debeline 10-15 cm z 2 x sejanim peskom, s planiranjem in strojnim utrjevanjem do 95% po standardnem Procterjovem postopku, natančnost izdelave posteljice je do +/-1 cm.</t>
  </si>
  <si>
    <t>22 003</t>
  </si>
  <si>
    <t>Izdelava peščenega obsipa cevi do 30 cm nad temenom s peskom granulacije 0-30 mm. Na peščeno posteljico se izvede 3-5 cm debel nasip, v katerega si cev izdela ležišče. Obsip cevi izvajati v slojih po 15 cm, istočasno na obeh straneh cevi ter paziti, da se cev ne premakne iz ležišča. Utrditev po SPP do 95% trdnosti</t>
  </si>
  <si>
    <t>22 004</t>
  </si>
  <si>
    <t>Zasip jarka po končanih montažnih delih in osnovnem zasipu cevovoda, z ustreznim izkopnim materialom gran. do 60 mm, z nabijanjem v plasteh po 30 cm do predpisane zbitosti za tovrstna vozišča (zbitost min. 97 % po SPP), kar mora izvajalec dokazati z meritvami</t>
  </si>
  <si>
    <t>22 005</t>
  </si>
  <si>
    <t>Humuziranje brez valjanja ter zasaditev trave , vključno z zalivanjem in vzdrževanjem do treh mesecev po sejanju</t>
  </si>
  <si>
    <t>22 006</t>
  </si>
  <si>
    <t>Odvoz odvečnega materiala od izkopa na deponijo z nakladanjem in razgrinjanjem na deponiji. Deponija oddaljena do 5 km (upoštevan faktor razrahljivosti izkopanega materiala f=1.40)</t>
  </si>
  <si>
    <t>22 007</t>
  </si>
  <si>
    <t>Črpanje vode iz gradbene jame v času gradnje</t>
  </si>
  <si>
    <t>NASIPI, ZASIPI - SKUPAJ</t>
  </si>
  <si>
    <t>22 009</t>
  </si>
  <si>
    <t>Ostala nepredvidena zemeljska dela; obračun po dejanskih stroških porabe časa in materiala po vpisu v gradbeni dnevnik; Ocena 5% od vrednosti.</t>
  </si>
  <si>
    <t>ZEMELJSKA DELA – SKUPAJ</t>
  </si>
  <si>
    <t>GRADBENA IN OBRTNIŠKA DELA</t>
  </si>
  <si>
    <t>40 001</t>
  </si>
  <si>
    <t>Namestitev Ltž cestnih kap vodovoda na predfabricirane AB plošče, za zavarovanje vgradbenih armatur na podzemnih ventilih, hidrantih in zračnikih, s prilagoditvijo na končno niveleto. Nabava cestne kape ter podložne plošče upoštevana v strojnem delu popisa.</t>
  </si>
  <si>
    <t>40 002</t>
  </si>
  <si>
    <t>Postavitev začasnih lesenih prehodov preko izkopanega jarka iz plohov in ograjo iz desk, za prehod</t>
  </si>
  <si>
    <t>40 003</t>
  </si>
  <si>
    <t>Nabava, montaža in demontaža dvostranskega vertikalnega varovalnega opaža za razpiranje sten izkopa po tehnologiji izvajalca.</t>
  </si>
  <si>
    <t>GRADBENA IN OBRTNIŠKA DELA – SKUPAJ</t>
  </si>
  <si>
    <t>VODOVOD</t>
  </si>
  <si>
    <t>50 001</t>
  </si>
  <si>
    <t>50 002</t>
  </si>
  <si>
    <t>50 003</t>
  </si>
  <si>
    <t>Fazonski kosi, proizvod npr. Hawle ali Zagožen,  izdelani iz nodularne litine, skupaj s potrebnimi tesnili, zaskočnimi obroči, vijačnim in ostalim montažnim materialom, znotraj in zunaj tovarniško zaščiten proti koroziji; matični vijaki morajo biti galvansko zaščiteni proti rjavenju:</t>
  </si>
  <si>
    <t>VODOVOD – SKUPAJ</t>
  </si>
  <si>
    <t>60 004</t>
  </si>
  <si>
    <t>Preizkus vodotesnosti vodovodnih cevi po veljavnih standardih:</t>
  </si>
  <si>
    <t>60 005</t>
  </si>
  <si>
    <t>Pranje in dezinfekcija cevovoda (po posameznih odsekih) po standardu SIST pr EN 805, ki ga izvede pristojna zdravstvena služba, s 5% režijskega pribitka za pomoč pri izvedbi</t>
  </si>
  <si>
    <t>TUJE STORITVE - SKUPAJ</t>
  </si>
  <si>
    <t>K1 - 'V1'</t>
  </si>
  <si>
    <t>NL DN 100 INT.L=6 m</t>
  </si>
  <si>
    <t>K2 - 'NH1'</t>
  </si>
  <si>
    <t>NL DN 80 INT.L=6 m</t>
  </si>
  <si>
    <t>K3 - 'VP1'</t>
  </si>
  <si>
    <t>K4 - 'VP2'</t>
  </si>
  <si>
    <t>K5 - 'VP3'</t>
  </si>
  <si>
    <t>K6 - 'VP4'</t>
  </si>
  <si>
    <t>K7 - 'ZR1'</t>
  </si>
  <si>
    <t>M3 - 'VOD'</t>
  </si>
  <si>
    <t xml:space="preserve">Vodovodna cev, izdelanih iz nodularne litine  skupaj s spojnim in tesnilnim materialom.
</t>
  </si>
  <si>
    <t>50 004</t>
  </si>
  <si>
    <t>50 007</t>
  </si>
  <si>
    <t>53 008</t>
  </si>
  <si>
    <t>Montaža cevi iz NL, z vsemi spremljajočimi deli, transporti, s tlačno preizkušnjo po navodilih proizvajalca cevi in standardih pr EN 805, ter dobavo opozorilnega PVC traku, ki se ga položi na osnovni zasip cevovoda (posteljica in osnovni nasip cevovoda je zajet v popisu gradbenih del)</t>
  </si>
  <si>
    <t>MMA DN100/100</t>
  </si>
  <si>
    <t>F-kos DN100</t>
  </si>
  <si>
    <t>F-kos DN80</t>
  </si>
  <si>
    <t>S-kos DN100 l=0,6m</t>
  </si>
  <si>
    <t>T-kos DN80/80</t>
  </si>
  <si>
    <t>EV zasun DN100 z vgradno armaturo in cestno kapo</t>
  </si>
  <si>
    <t>EV zasun DN80 z vgradno armaturo in cestno kapo</t>
  </si>
  <si>
    <t>N-kos DN80/80</t>
  </si>
  <si>
    <t>EU-kos DN100</t>
  </si>
  <si>
    <t>40 004</t>
  </si>
  <si>
    <t>Namestitev nadzemnga hidranta in zračnika skupaj z dobavo betona in obbetoniranjem fazonskih kosov. Nabava hidranta in zračnika je upoštevano v strojnem delu popisa.</t>
  </si>
  <si>
    <t>Zemeljska dela</t>
  </si>
  <si>
    <t>Gradbena in obrtniška dela</t>
  </si>
  <si>
    <t>Vodovod - strojni del</t>
  </si>
  <si>
    <t>Tuje storitve</t>
  </si>
  <si>
    <t>izdelava nasipa iz nasipnega kamnitega materiala D64</t>
  </si>
  <si>
    <t>navezava na obstoječe</t>
  </si>
  <si>
    <t>Dolenje in Gorenje Ponikve:
Kanalizacija, rekonstrukcija vodovoda in pločnik med naseljema</t>
  </si>
  <si>
    <t>Projektantski predračun
Načrt ceste za ureditev pločnikov na lokalni cesti LC 425043 Dol. Nemška vas - Ponikve - Mirna Peč 640m</t>
  </si>
  <si>
    <t>Od A1 do meje obdelave</t>
  </si>
  <si>
    <t>12 212</t>
  </si>
  <si>
    <t>Odstranitev prometnega znaka na enem podstavku s signalno varnostno napravo</t>
  </si>
  <si>
    <t>12 213</t>
  </si>
  <si>
    <t>Odstranitev prometnega znaka na dveh podstavkih</t>
  </si>
  <si>
    <t>25 152</t>
  </si>
  <si>
    <t xml:space="preserve">Postavljenega na višino +12cm. </t>
  </si>
  <si>
    <t>Postavljenega na višino 2,00cm.</t>
  </si>
  <si>
    <t>Dobava in vgraditev predfabriciranega dvignjenega robnika iz cementnega betona  s prerezom 15/25 cm. Vključno z dobavo betona, malte za fugiranje in fugiranjem.</t>
  </si>
  <si>
    <t>Doplačilo za zasaditev dreves 
(ciprese h=1.8m). Dobava in dostava dreves, z vsem materialom in deli za zasaditev.</t>
  </si>
  <si>
    <t xml:space="preserve">Iz asfalta; AC 22 base B 50/70 A4 (cesta) </t>
  </si>
  <si>
    <t>Dobava in vgraditev predfabriciranega poglobljenega robnika iz cementnega betona  s prerezom 15/25 cm. Vključno z dobavo in vgradnjo betona, malte za fugiranje in fugiranjem.</t>
  </si>
  <si>
    <t>Dobava in vgraditev predfabriciranega pogreznjenega robnika iz cementnega betona  s prerezom 8/25 cm. Vključno z dobavo in vgradnjo betona, malte za fugiranje in fugiranjem.</t>
  </si>
  <si>
    <t>Izdelava drenažne kanalizacije iz cevi iz polivinilklorida DN200, vključno s podložno plastjo iz zmesi kamnitih zrn, premera 16 cm, v globini do 1,0m</t>
  </si>
  <si>
    <t>Dobava in vgraditev vtočne rešetke iz duktilne litine z nosilnostjo 40 kN, s prerezom 400/400mm</t>
  </si>
  <si>
    <t>Izdelava drenažne kanalizacije iz cevi iz polivinilklorida DN150, vključno s podložno plastjo iz zmesi kamnitih zrn, premera 16 cm, v globini do 1,0m</t>
  </si>
  <si>
    <t>Oblikovanje izpustne glave, kamen v betonu</t>
  </si>
  <si>
    <t>Peskolov, vtok pod robnikom 17x; vtok skozi rešetko 4x</t>
  </si>
  <si>
    <t>5.1 Ograje, cokli, ipd.</t>
  </si>
  <si>
    <t xml:space="preserve">Dvig obstoječega AB cokla ograje za cca. 35cm s prestavitvijo žične ograje med profilom A2 in A3. Z dobavo in vgradnjo vseh materialov (beton, armatura, sidra, vijaki, opaž, …) in vključno z vsemi deli potrebnimi za prestavitev zidu/cokla in ograje. </t>
  </si>
  <si>
    <t>Dobava in vgradnja betonske segmentne mulde širine 30cm in globine 3.0cm. Betonska mulda se polaga na sloj podložnega betona kvalitete C
12/15 minimalne debeline 10cm. Vključno z dobavo podložnega betona, maso za fugiranje in vsemi deli.</t>
  </si>
  <si>
    <t>44 964</t>
  </si>
  <si>
    <t>Vertikalne stranice mulde se prav tako deloma obbetonira. Stiki med posameznimi segmenti mulde se zafugirajo.
V muldi so vgrajeni vtočni jaški z LTŽ rešetkami (postavka 4.2. 002), ki so povezani z meteorno cestno kanalizacijo. Vogali mulde ob LTŽ rešetki, ki so višji od vrhnjega nivoja rešetke se pobrusijo.</t>
  </si>
  <si>
    <t xml:space="preserve">Prestavitev obstoječega AB zidu in ograje  z rušitvijo obstoječega in izgradnjo novega zidu višine cca. 55cm vključno s prestavitvijo oz montažo nove žične ograje. Z dobavo in vgradnjo vseh materialov (beton, armatura, sidra, vijaki, mreža, opaž, …) in vključno z vsemi deli potrebnimi za prestavitev zidu/cokla in ograje ter odvozom ruševin ter drugih gradbenih odpadkov. </t>
  </si>
  <si>
    <t>Lega ograj:
- dolžine 18,5m od km 0 + 079 do km 0 + 098,5 
- dolžine 22,5m od km 0 + 188,8 do km 0 + 211,3;
- dolžine 8m od km 0 + 202,9do km 0 + 220,9;
- dolžine 26m od km 0 + 235 do km 0 + 261</t>
  </si>
  <si>
    <t>Dobava in pritrditev okroglega prometnega znaka, podloga iz vročecinkane jeklene pločevine, znak z odsevno folijo 2. vrste, premera 400 mm</t>
  </si>
  <si>
    <t>61 217</t>
  </si>
  <si>
    <t>Dobava in vgraditev stebrička za prometni znak iz vroče cinkane jeklene cevi s premerom 64 mm, dolge 4000 mm</t>
  </si>
  <si>
    <t>Dobava in pritrditev trikotnega prometnega znaka, podloga iz vroče cinkane jeklene pločevine, znak z odsevno folijo 2. vrste, dolžina stranice a = 900 mm</t>
  </si>
  <si>
    <t>61 422</t>
  </si>
  <si>
    <t>Dobava in pritrditev osemkotnega prometnega znaka, podloga iz vroče cinkane jeklene pločevine, znak z odsevno folijo 2. vrste, premera 600 mm</t>
  </si>
  <si>
    <t>0007</t>
  </si>
  <si>
    <t>61 600</t>
  </si>
  <si>
    <t>Prestavitev prometnega znaka na dvojnem stebričku. Z vsemi deli in pomožnimi materiali.</t>
  </si>
  <si>
    <t>Prestavitev prometnega znaka na enem stebričku. Z vsemi deli in pomožnimi materiali.</t>
  </si>
  <si>
    <t>Prestavitev prometnega znaka Andrejev križ s signalno varnostno napravo.  Z vsemi deli in pomožnimi materiali.</t>
  </si>
  <si>
    <t>Izdelava tankoslojne vzdolžne označbe na vozišču z enokomponentno belo barvo, vključno 250 g/m2 posipa z drobci / kroglicami stekla, strojno, debelina plasti suhe snovi 400 µm, širina črte 50 cm</t>
  </si>
  <si>
    <t>Izdelava tankoslojne prečne in ostalih označb na vozišču z enokomponentno belo barvo, vključno 250 g/m2 posipa z drobci / kroglicami stekla, strojno, debelina plasti suhe snovi 250 µm, površina označbe nad 1,5 m2</t>
  </si>
  <si>
    <t>Odriv humusa 20cm</t>
  </si>
  <si>
    <t>Projektantski predračun - dovozna cesta cca. 134m</t>
  </si>
  <si>
    <t>51 003</t>
  </si>
  <si>
    <t>Izdelava škatlastega prepusta iz AB škatlastih elementov dimenzij 1,0m x1,0m dolžine 7m. Vključno z dobavo, dostavo, vgradnjo AB elementov, s podložnim betonom, vsemi deli in pomožnim materialom.</t>
  </si>
  <si>
    <t>Izdelava iztočne glave fi63 cm iz armiranega betona. Vključno z dobavo betona, opaža, z vsemi deli povezanimi z izdelavo iztočne glave.</t>
  </si>
  <si>
    <t>51 005</t>
  </si>
  <si>
    <t>Izdelava tlakovanja izkoka iz cevi
iz zmrzlinsko odpornega kamna
debelina tlakovanja 30 - 40cm, kamen polagan v beton C20/25, skupaj s fugiranjem stikov. Vključno z dobavo in dostavo materiala, betona in vsemi deli.</t>
  </si>
  <si>
    <t>Izdelava tlakovanja izkoka iz cevi
iz zmrzlinsko odpornega kamna
debelina tlakovanja 30-40cm, kamen polagan v beton C20/25, skupaj s fugiranjem stikov. Vključno z dobavo in dostavo materiala, betona in vsemi deli. (iztok M1.0 in iztok iz škatlastega prepusta)</t>
  </si>
  <si>
    <t>KONSTRUKCIJE</t>
  </si>
  <si>
    <t>Prag iz lesenih oblic D=20 cm, dH=10 cm v dolžini 1,4m. Vključno z dobavo, vgradnjo in vsemi deli ter materiali. (glej detajl 3.1.5.3.3)</t>
  </si>
  <si>
    <t>REKAPITULACIJA - DOSTOPNA CESTA 2 - cca. 80m</t>
  </si>
  <si>
    <t>K1 - 'K1.0'</t>
  </si>
  <si>
    <t>BC DN1000</t>
  </si>
  <si>
    <t>1.5-2.0</t>
  </si>
  <si>
    <t>BC</t>
  </si>
  <si>
    <t>2.0-3.0</t>
  </si>
  <si>
    <t xml:space="preserve">3.0- </t>
  </si>
  <si>
    <t>dolžina</t>
  </si>
  <si>
    <t>(izkop, planum, odvoz, ipd. upoštevano v LC)</t>
  </si>
  <si>
    <t xml:space="preserve">Dobava in polaganje enoslojnih gladkih kanalizacijskih  PVC cevi  DN 250 mm, SN 8 na peščeno podlago  vključno z veznim in tesnilnim materialom.                                                             </t>
  </si>
  <si>
    <t>Izdelava vodotesnih revizijskih jaškov globine nad 2m iz PE DN1000, z napravo AB temelja in venca, obdelavo vtoka v jašek ter z vgraditvijo LTŽ pokrova s tesnenjem dim. fi60cm nosilnosti 400kN;</t>
  </si>
  <si>
    <t>Izdelava vodotesnih revizijskih jaškov globine do 2m iz PE DN1000, z napravo AB temelja in venca, obdelavo vtoka v jašek ter z vgraditvijo LTŽ pokrova s tesnenjem dim. fi60cm nosilnosti 400kN;</t>
  </si>
  <si>
    <t>K2 - 'K2.0'</t>
  </si>
  <si>
    <t>K12 - 'T2.0'</t>
  </si>
  <si>
    <t>PE100 PN10 SDR17 DN90</t>
  </si>
  <si>
    <t>Izdelava vodotesnih revizijskih jaškov globine nad 1m iz PE DN1000, z napravo AB temelja in venca, obdelavo vtoka v jašek ter z vgraditvijo LTŽ pokrova s tesnenjem dim. fi60cm nosilnosti 400kN;</t>
  </si>
  <si>
    <t xml:space="preserve">Dobava in polaganje cevi tlačne kanalizacije PE100 PN10 SDR17 DN90 na peščeno podlago  vključno z veznim in tesnilnim materialom.                                                </t>
  </si>
  <si>
    <t xml:space="preserve">Dobava in polaganje enoslojnih gladkih kanalizacijskih  PVC cevi  DN 250 mm, SN 8 na peščeno podlago  vključno z veznim in tesnilnim materialom.                                                                        </t>
  </si>
  <si>
    <t>2.0-2.5</t>
  </si>
  <si>
    <t>K1 - 'M1.0'</t>
  </si>
  <si>
    <t>PVC-U SN8 DN315</t>
  </si>
  <si>
    <t>PVC-U SN8 DN500</t>
  </si>
  <si>
    <t xml:space="preserve">Dobava in polaganje enoslojnih gladkih kanalizacijskih  PVC cevi  DN 315 mm, SN 8 na peščeno podlago  vključno z veznim in tesnilnim materialom.                                                             </t>
  </si>
  <si>
    <t xml:space="preserve">Dobava in polaganje enoslojnih gladkih kanalizacijskih  PVC cevi  DN 500 mm, SN 8 na peščeno podlago  vključno z veznim in tesnilnim materialom.                                                             </t>
  </si>
  <si>
    <t>Dobava in vgradnja vodotesnih revizijskih jaškov globine do 2m iz PE DN1000, z napravo AB temelja in venca, obdelavo vtoka v jašek ter z vgraditvijo LTŽ pokrova s tesnenjem dim. fi60cm nosilnosti 400kN;</t>
  </si>
  <si>
    <t>Dobava in vgradnja vodotesnih revizijskih jaškov globine nad 2m iz PE DN1000, z napravo AB temelja in venca, obdelavo vtoka v jašek ter z vgraditvijo LTŽ pokrova s tesnenjem dim. fi60cm nosilnosti 400kN;</t>
  </si>
  <si>
    <t>Dobava in vgradnja Protipovratna zaklopka DN630 (ekv. PROCO 711). 
(Izdelava izpustne glave je upšotevana v LC)</t>
  </si>
  <si>
    <t>PVC-U SN8 DN400</t>
  </si>
  <si>
    <t>PVC-U SN8 DN630</t>
  </si>
  <si>
    <t>1.0-1.5</t>
  </si>
  <si>
    <t>K2 - 'M2.0'</t>
  </si>
  <si>
    <t>M3.K2.T1</t>
  </si>
  <si>
    <t>M3.K2.T2</t>
  </si>
  <si>
    <t>M3.K2.T3</t>
  </si>
  <si>
    <t>M3.K2.T4</t>
  </si>
  <si>
    <t>M3.K2.T5</t>
  </si>
  <si>
    <t>M3.K2.T6</t>
  </si>
  <si>
    <t>M3.K2.T7</t>
  </si>
  <si>
    <t>M3.K2.T8</t>
  </si>
  <si>
    <t>M3.K2.T9</t>
  </si>
  <si>
    <t>M3.K2.T10</t>
  </si>
  <si>
    <t>M3.K2.T11</t>
  </si>
  <si>
    <t>M3.K2.T12</t>
  </si>
  <si>
    <t>(Delno upoštevano v LC: izkop, planum, odvoz, ipd.)</t>
  </si>
  <si>
    <t>Protivzgonsko obbetoniranje cevi v dolžini L=38,3 m. Vključno z dobavo betona in vsemi pomožnimi deli in materiali. (glej detajl podvrtavnja M2.0; risba 3.1.5.3.4)</t>
  </si>
  <si>
    <t>Znižanje nivelete obstoječega jarka na predvideno niveleto z ureditvijo brežin z lomljencem D=30-40 cm  vtisnenjenim v peščeno podlago za stabilizacijo nasipa. Fuge se z zgornje strani humusira in zasadi. Vključno z dobavo in dostavo materiala in vsemi deli. (glej detajl 3.1.5.3.3)</t>
  </si>
  <si>
    <t>ureditev izpustne glave z ureditvijo brežin z lomljencem D=30-40 cm  vtisnenjenim v peščeno podlago za stabilizacijo nasipa. Fuge se z zgornje strani humusira in zasadi. Vključno z dobavo in dostavo materiala in vsemi deli. (glej detajl 3.1.5.3.4)</t>
  </si>
  <si>
    <t>Prestavitev TK kablovoda z vstavitvijo v zaščitno cev DWP125 in obbetoniranje na dolžini 15m. Na območju prepusta se obesi na protivzgonsko obbetoniranje cevi kanalizacije.</t>
  </si>
  <si>
    <t>Dobava in vgradnja DWP 125 cevi</t>
  </si>
  <si>
    <t>Obbetoniranje DWP 125 cevi izven prepusta</t>
  </si>
  <si>
    <t>Prestavitev GSMR kablovoda z vstavitvijo v zaščitno cev DWP125 in obbetoniranje na dolžini 15m. Vključno z dobavo, izvedbo, izkopom, odvozom viška materiala, zasipom,…</t>
  </si>
  <si>
    <t>Dobava in vgradnja DWP 125 cevi (z obešanjem na beton obbetoniranja kanalizacijske cevi)</t>
  </si>
  <si>
    <t>9</t>
  </si>
  <si>
    <t>10</t>
  </si>
  <si>
    <t>Podboj železnice v km 94+091 za kanal M1.0 z zaščitno cevjo JE DN800 (813x10mm) l=12.5m i=1,0%
Vključno z izkopom gradbene jame, dostavo opreme, vsemi  deli in potrebnimi materiali.</t>
  </si>
  <si>
    <t>Prestavitev GSMR kablovoda z vstavitvijo v zaščitno cev DWP125 in obbetoniranje na dolžini 15m. Vključno z dobavo, izvedbo, izkopom, odvozom viška materiala, zasipom,… (izkop je upoštevan pri posameznem kanalu)</t>
  </si>
  <si>
    <t>K13 - 'T1.0'</t>
  </si>
  <si>
    <t>Izdelava odzračevalnega jaška globine do 2m iz PE DN1000, z napravo AB temelja in venca, obdelavo vtoka v jašek ter z vgraditvijo LTŽ pokrova s tesnenjem dim. fi60cm nosilnosti 400kN;</t>
  </si>
  <si>
    <t>Izvedba podboja pod občinsko cesto Dolenja Nemška vas-Ponikve-Mirna Peč z vstavitvijo zaščitne cevi JE DN200. Vključno z dostavo opreme, dobavo materiala ter vsemi deli in materialom.</t>
  </si>
  <si>
    <t>Podvrtanje reke Temenice po HDD metodi z PEHD cevjo, DN90 mm, PE100, SDR 11, L=53,0 m.
Vključno z dostavo opreme, dobavo materiala ter vsemi deli in materialom. Vključno z izkopom gradbene jame ipd..</t>
  </si>
  <si>
    <t>Izdelava vodotesnih čistilnih jaškov globine do 2m iz PE DN1000, z napravo AB temelja in venca, obdelavo vtoka v jašek ter z vgraditvijo LTŽ pokrova s tesnenjem dim. fi60cm nosilnosti 400kN;</t>
  </si>
  <si>
    <t>Izdelava vodotesnih čistilnih jaškov globine nad 2m iz PE DN1000, z napravo AB temelja in venca, obdelavo vtoka v jašek ter z vgraditvijo LTŽ pokrova s tesnenjem dim. fi60cm nosilnosti 400kN;</t>
  </si>
  <si>
    <t>Izdelava asfaltne mulde širine 50cm in globine 3.0cm. Vključno z dostavo opreme, orodja in delom.</t>
  </si>
  <si>
    <t>V muldi so vgrajeni vtočni jaški z LTŽ rešetkami, ki so povezani z meteorno cestno kanalizacijo. Vogali mulde ob LTŽ rešetki, ki so višji od vrhnjega nivoja rešetke se pobrusijo.</t>
  </si>
  <si>
    <t>K10 - 'K1.1'</t>
  </si>
  <si>
    <t>(izkop, planum, odvoz, ipd. upoštevano v cesti)</t>
  </si>
  <si>
    <t>K11 - 'K1.1.1'</t>
  </si>
  <si>
    <t>K7 - 'K1.2'</t>
  </si>
  <si>
    <t>K8 - 'K1.2.1'</t>
  </si>
  <si>
    <t>K9 - 'K1.2.2'</t>
  </si>
  <si>
    <t>K14 - 'K1.3'</t>
  </si>
  <si>
    <t>K3 - 'K2.1'</t>
  </si>
  <si>
    <t>K4 - 'K2.1.1'</t>
  </si>
  <si>
    <t>K5 - 'K2.2'</t>
  </si>
  <si>
    <t>K6 - 'K2.2.1'</t>
  </si>
  <si>
    <t>K5 - 'M1.1'</t>
  </si>
  <si>
    <t xml:space="preserve">Dobava in polaganje enoslojnih gladkih kanalizacijskih  PVC cevi  DN 400 mm, SN 8 na peščeno podlago  vključno z veznim in tesnilnim materialom.                                                             </t>
  </si>
  <si>
    <t>K4 - 'M1.2'</t>
  </si>
  <si>
    <t>K3 - 'M2.1'</t>
  </si>
  <si>
    <t>K7 - 'M2.2'</t>
  </si>
  <si>
    <t>K6 - 'M2.2.1'</t>
  </si>
  <si>
    <t>Izdelava ponikovalnice iz 3kosov AB perforiranih cevi in ene polne AB cevi DN1000. Komplet z dobavo in vgradnjo cevi, kamnitega materiala razbremenilnega dela ponikovalnice, perforiranih PVC cevi varnostnega preliva, kamniti material za obsip PVC cevi, podložni beton za pod AB cevi, filc za preprečevanje zamulčanja kamnitega dela ponikovalnice ter z vsemi deli in odvozi izkopanega materiala.</t>
  </si>
  <si>
    <t>OSTALA PRIPRAVLJALNA DELA (upoštevano v ceti)</t>
  </si>
  <si>
    <t>IZKOPI (upoštevano v cesti)</t>
  </si>
  <si>
    <t>Urejanje planuma spodnjega ustroja izkopa ter planiranje s točnostjo do +/-3 cm po projektiranem naklonu. (upoštevano v cesti)</t>
  </si>
  <si>
    <t>K1 - 'V1.0'</t>
  </si>
  <si>
    <t>T-kos DN100/100</t>
  </si>
  <si>
    <t>MMK-kos 45° DN100</t>
  </si>
  <si>
    <t>MMA DN100/80</t>
  </si>
  <si>
    <t>EU-kos DN80</t>
  </si>
  <si>
    <r>
      <t xml:space="preserve">Označba nadzemnega hidranta, zračnika in pomembnejšega ventila vozlišča: -tablica SIST 1005, vključno z namestitvijo,  -Al stebriček </t>
    </r>
    <r>
      <rPr>
        <sz val="10"/>
        <color indexed="8"/>
        <rFont val="Calibri"/>
        <family val="2"/>
      </rPr>
      <t>f50mm v betonskem temelju, vključno s postavitvijo; izkopom ter betoniranjem temelja DN30x80cm.</t>
    </r>
  </si>
  <si>
    <t>Nadzemni hidrant - deljivi - DN80</t>
  </si>
  <si>
    <t>Avtomatski zračnik Hawle (9823) PN16 DN80</t>
  </si>
  <si>
    <t>K6 - 'V1.1'</t>
  </si>
  <si>
    <t>MMK-kos 22° DN100</t>
  </si>
  <si>
    <t>K7 - 'V1.1.1'</t>
  </si>
  <si>
    <t>K8 - 'V1.2'</t>
  </si>
  <si>
    <t>K9 - 'V1.3'</t>
  </si>
  <si>
    <t>K2 - 'V1.5'</t>
  </si>
  <si>
    <t>K3 - 'V1.5.1'</t>
  </si>
  <si>
    <t>Podzemni hidrant - DN80 z garnituro in cestno kapo</t>
  </si>
  <si>
    <t>Namestitev podzemnega, nadzemnga hidranta in zračnika skupaj z dobavo betona in obbetoniranjem fazonskih kosov. Nabava hidranta in zračnika je upoštevano v strojnem delu popisa.</t>
  </si>
  <si>
    <t>K4 - 'V1.5.1.1'</t>
  </si>
  <si>
    <t>K5 - 'V1.5.2'</t>
  </si>
  <si>
    <t xml:space="preserve">REKAPITULACIJA </t>
  </si>
  <si>
    <t>SKUPAJ GRADBENA DELA</t>
  </si>
  <si>
    <t>SKUPAJ ELEKTRO DELA</t>
  </si>
  <si>
    <t>A + B SKUPAJ</t>
  </si>
  <si>
    <t>+</t>
  </si>
  <si>
    <t>22% DDV</t>
  </si>
  <si>
    <t>Stran 1 od 10</t>
  </si>
  <si>
    <t xml:space="preserve">4.5.2.2.1. PREDRAČUN Z REKAPITULACIJO </t>
  </si>
  <si>
    <t>( dobava in montaža )</t>
  </si>
  <si>
    <t>1.0.</t>
  </si>
  <si>
    <t xml:space="preserve">1.1. </t>
  </si>
  <si>
    <t>1.1.1.</t>
  </si>
  <si>
    <t>Trasiranje trase kabelskega kabla oz.</t>
  </si>
  <si>
    <t>kabelske kanalizacije z označevanjem</t>
  </si>
  <si>
    <t>v naselju ali ovirami:</t>
  </si>
  <si>
    <t>1.1.2.</t>
  </si>
  <si>
    <t>Pripravljalna dela na gradbišču</t>
  </si>
  <si>
    <t>Obeleženje in zakoličba trase obstoječih in projektiranih</t>
  </si>
  <si>
    <t>telefonskih in energetskih kablov, vodovoda ter</t>
  </si>
  <si>
    <t>kanalizacije in drugih komunalnih vodov ter označbe križanj:</t>
  </si>
  <si>
    <t>1.1.</t>
  </si>
  <si>
    <t>SKUPAJ GEODETSKA DELA</t>
  </si>
  <si>
    <t>Stran 2 od 10</t>
  </si>
  <si>
    <t>2.0</t>
  </si>
  <si>
    <t>2.1.</t>
  </si>
  <si>
    <t>2.1.1.</t>
  </si>
  <si>
    <t xml:space="preserve">Strojni izkop kabelskega jarka globine 1.0m in širine 0.4m, </t>
  </si>
  <si>
    <t>odvoz odvečenega materiala na deponijo do 20km</t>
  </si>
  <si>
    <t>III.,IV. kat    m³</t>
  </si>
  <si>
    <t>2.1.2.</t>
  </si>
  <si>
    <t>Strojni izkop za kabelske jaške</t>
  </si>
  <si>
    <t>2.1.3.</t>
  </si>
  <si>
    <t>Strojni izkop za temelje OJR in svetilk</t>
  </si>
  <si>
    <t>SKUPAJ IZKOPI</t>
  </si>
  <si>
    <t>2.2.</t>
  </si>
  <si>
    <t>KABELSKA POSTELJICA, ZASIPI</t>
  </si>
  <si>
    <t>2.2.1.</t>
  </si>
  <si>
    <t>Izdelava kabelske posteljice dim. 0.2x0.4m</t>
  </si>
  <si>
    <t>s peskom garnulacije 0-4mm</t>
  </si>
  <si>
    <t>m³</t>
  </si>
  <si>
    <t>2.0.</t>
  </si>
  <si>
    <t>SKUPAJ ZEMELJSKA DELA</t>
  </si>
  <si>
    <t>Stran 3 od 10</t>
  </si>
  <si>
    <t>4.0</t>
  </si>
  <si>
    <t>KABELSKA KANALIZACIJA</t>
  </si>
  <si>
    <t>4.1.</t>
  </si>
  <si>
    <t>4.1.1.</t>
  </si>
  <si>
    <t>Dobava in polaganje cevi PVC cevi Ø 29mm</t>
  </si>
  <si>
    <t>od razdelilcev kandelabra do svetilke</t>
  </si>
  <si>
    <t>4.1.2.</t>
  </si>
  <si>
    <t>Dobava in polaganje cevi PVC cevi Ø 75mm</t>
  </si>
  <si>
    <t>na globini 0.8m, od kandelabra do kandelabra</t>
  </si>
  <si>
    <t>4.1.3.</t>
  </si>
  <si>
    <t>Dobava in polaganje cevi PVC cevi Ø 110mm</t>
  </si>
  <si>
    <t>na globini 0.8m, po celotni trasi 2x160 mm</t>
  </si>
  <si>
    <t>SKUPAJ KABELSKA KANALIZACIJA</t>
  </si>
  <si>
    <t>4.0.</t>
  </si>
  <si>
    <t>Stran 4 od 10</t>
  </si>
  <si>
    <t>5.0.</t>
  </si>
  <si>
    <t>5.1.</t>
  </si>
  <si>
    <t>DELO S CEMENTNIM BETONOM</t>
  </si>
  <si>
    <t>5.1.1.</t>
  </si>
  <si>
    <t>Izdelava betonskega temelja za 4m in 6m kandelaber</t>
  </si>
  <si>
    <t>dim. 1.0x1.0x1.2m, s štirimi sidrnimi vijaki</t>
  </si>
  <si>
    <t xml:space="preserve">M 24x 1m ter 2x PVC cevjo fi 75mm </t>
  </si>
  <si>
    <t>Stran 5 od 10</t>
  </si>
  <si>
    <t>6.0.</t>
  </si>
  <si>
    <t>JAVNA RAZSVETLJAVA - ELEKTRO DELA</t>
  </si>
  <si>
    <t>6.1.1.</t>
  </si>
  <si>
    <t>Dobava in polaganje kabla PP00Y 4x2.5mm²</t>
  </si>
  <si>
    <t>v cev PVC Ø 29mm od razdelilcev kandelabrov</t>
  </si>
  <si>
    <t>do svetilke</t>
  </si>
  <si>
    <t>6.1.2.</t>
  </si>
  <si>
    <t>Dobava in polaganje kabla NAYY-J  4x16+2.5mm²</t>
  </si>
  <si>
    <t>v cev PVC Ø 110mm od OJR do razdelilcev svetilke</t>
  </si>
  <si>
    <t>6.1.3.</t>
  </si>
  <si>
    <t>6.1.4.</t>
  </si>
  <si>
    <t>Električne in svetlobnotehnične meritve</t>
  </si>
  <si>
    <t>z merilnim protokolom</t>
  </si>
  <si>
    <t>6.1.5.</t>
  </si>
  <si>
    <t>Vris kabelske kanalizacije JR v</t>
  </si>
  <si>
    <t>podzemni kataster</t>
  </si>
  <si>
    <t>6.1.6.</t>
  </si>
  <si>
    <t>Dobava in montaža vroče cinkanega kandelabra</t>
  </si>
  <si>
    <t>višine h=6m s siderno ploščo in sidernimi vijaki</t>
  </si>
  <si>
    <t>skladno s tipizacijo upravljalca na tem območju</t>
  </si>
  <si>
    <t>ter dimenzionirani za pritisk vetra do 500N/m²</t>
  </si>
  <si>
    <t xml:space="preserve">z vsemi potrebnimi A-testi, dokazili o skladnosti </t>
  </si>
  <si>
    <t>s standardi, ter statičnimi izračuni</t>
  </si>
  <si>
    <t>6.1.7.</t>
  </si>
  <si>
    <t>višine h=4m s siderno ploščo in sidernimi vijaki</t>
  </si>
  <si>
    <t>6.1.8.</t>
  </si>
  <si>
    <t>Dobava in montaža razdelilca v kandelabru</t>
  </si>
  <si>
    <t>z vgrajeno cevno varovalko 1X6A, za varovanje kabla do svetilke</t>
  </si>
  <si>
    <t>6.1.9.</t>
  </si>
  <si>
    <t>Dobava in montaža cestne svetilke skladne z Uredbo o mejnih vrednostih</t>
  </si>
  <si>
    <t>7243040. Jovie 50-AB2L-LR/3200-730 4G1 ET. Cestna LED svetilka.</t>
  </si>
  <si>
    <t xml:space="preserve">Asimetrična osvetlite. Izstopni svetlobni tok 3200 lm, moč 29W, 730, 3000K. </t>
  </si>
  <si>
    <t xml:space="preserve">Svetlobni izkoristek 110 lM/W  </t>
  </si>
  <si>
    <t xml:space="preserve">Optični sistem s tehnologijo Multi-Lens. Življenska doba 100.000 ur (L80/B20). </t>
  </si>
  <si>
    <t>5 let garancije. AA++. TRILUX (zastopnik MTSi d.o.o. Maribor)</t>
  </si>
  <si>
    <t>1xSON-TPP100W/10700 lm in ravnim steklom</t>
  </si>
  <si>
    <t>Stran 6 od 10</t>
  </si>
  <si>
    <t>6.1.10.</t>
  </si>
  <si>
    <t>Dobava in polaganje valjanca</t>
  </si>
  <si>
    <t>FeZn 25x4mm</t>
  </si>
  <si>
    <t xml:space="preserve">Dobava in montaža toplo cinkanih križnih </t>
  </si>
  <si>
    <t>sponk FeZn 60x60mm in izdelava križnih stikov</t>
  </si>
  <si>
    <t>Obstoječa omarica CR se dogradi:</t>
  </si>
  <si>
    <t>omarice OJR 1 dimenzij 1000x1000x305mm s strehco</t>
  </si>
  <si>
    <t>v IP 65 zaščiti z vratci na obeh straneh omarice</t>
  </si>
  <si>
    <t>-</t>
  </si>
  <si>
    <t>varovalni element NV 100/3</t>
  </si>
  <si>
    <t>10A</t>
  </si>
  <si>
    <t>vrstne sponke, napisne ploščice..</t>
  </si>
  <si>
    <t>vezni in drobni material</t>
  </si>
  <si>
    <t>6.1.11.</t>
  </si>
  <si>
    <t>Izdelava spojev z vijačenjem na kandelabre</t>
  </si>
  <si>
    <t>z dvema vijakoma M 10</t>
  </si>
  <si>
    <t>6.1.12.</t>
  </si>
  <si>
    <t>Dobava in polaganje PVC opozorilnega traku</t>
  </si>
  <si>
    <t>POZOR ENERGETSKI KABEL, položen nad</t>
  </si>
  <si>
    <t>kabel v kabelski jarek</t>
  </si>
  <si>
    <t>6.1.13.</t>
  </si>
  <si>
    <t>Testiranje in vstavitev v pogon (funkc. preizkus)</t>
  </si>
  <si>
    <t>6.1.14.</t>
  </si>
  <si>
    <t>Geodetski posnetek izvedenega stanja</t>
  </si>
  <si>
    <t>SKUPAJ JAVNA RAZSVETLJAVA - ELEKTRO DELA</t>
  </si>
  <si>
    <t>Stran 7 od 10</t>
  </si>
  <si>
    <t>7.0.</t>
  </si>
  <si>
    <t>OSTALO</t>
  </si>
  <si>
    <t>7.1.1.</t>
  </si>
  <si>
    <t xml:space="preserve">Nadzor upravljalca JR </t>
  </si>
  <si>
    <t>ocenjeno</t>
  </si>
  <si>
    <t>7.1.2.</t>
  </si>
  <si>
    <t xml:space="preserve">IZDELAVA PID </t>
  </si>
  <si>
    <t>Stran 8 od 10</t>
  </si>
  <si>
    <t>A. GRADBENA DELA</t>
  </si>
  <si>
    <t>1.0. PREDDELA</t>
  </si>
  <si>
    <t>2.0. ZEMELJSKA DELA</t>
  </si>
  <si>
    <t>5.0. GRADBENA IN OBRTNIŠKA DELA</t>
  </si>
  <si>
    <t xml:space="preserve">        NEPREDVIDENA DELA, drobni material</t>
  </si>
  <si>
    <t xml:space="preserve">        z vpisom nadzornega organa v gradbeni dnevnik</t>
  </si>
  <si>
    <t xml:space="preserve">        (obračun po dejansko izvršenih delih)</t>
  </si>
  <si>
    <t xml:space="preserve">        ocenjeno 8%</t>
  </si>
  <si>
    <t xml:space="preserve">        kpl</t>
  </si>
  <si>
    <t>Stran 9 od 10</t>
  </si>
  <si>
    <t>B. ELEKTRO DELA</t>
  </si>
  <si>
    <t>Stran 10 od 10</t>
  </si>
  <si>
    <t>3.3. POPIS MATERIALA ELEKTROENERGETSKI NN 0.4kV PRIKLJUČEK</t>
  </si>
  <si>
    <t>(dobava in montaža)</t>
  </si>
  <si>
    <t>INVESTITOR:</t>
  </si>
  <si>
    <t>OBČINA TREBNJE</t>
  </si>
  <si>
    <t>OBJEKT:</t>
  </si>
  <si>
    <t>NN PRIKLJUČEK ZA ČRPALIŠČE</t>
  </si>
  <si>
    <t>Opomba!</t>
  </si>
  <si>
    <t>Popis se nanaša na gradbena dela z vsemi spremljajočimi deli pri izvedbi NN 0.4kV priključka, ki se bo gradila po izvedbi grobega planoma  gradbene parcele vozišč in internih komunikacij.</t>
  </si>
  <si>
    <t>Na gradbeni trasi ni izdelna geomehanska raziskava na vrsto in kategorijo zemljišča, v popisu so le ocene. Zato se mora obračun del izvajati na osnovi dejansko opravljenih količin z dejansko kategorijo izkopa zemljišča kar z vpisom v gradbeni dnevnik potrdi nadzorni organ.</t>
  </si>
  <si>
    <t>Št. načrta: 21-2020</t>
  </si>
  <si>
    <t>Št. Projekta: 6K-172362.3 MAT</t>
  </si>
  <si>
    <t>I.</t>
  </si>
  <si>
    <t>PRIPRAVLJALNA DELA</t>
  </si>
  <si>
    <t>Št.</t>
  </si>
  <si>
    <t>OPIS</t>
  </si>
  <si>
    <t>KOLIČINA</t>
  </si>
  <si>
    <t>CENA</t>
  </si>
  <si>
    <t>1./</t>
  </si>
  <si>
    <t>Rušilna, demontažna, postavitvena dela, nadzor</t>
  </si>
  <si>
    <t>Dostavni prevoz materiala, razvlečenje kabla na kolutih, delo s kamionskim dvigalom do 4.5 T.</t>
  </si>
  <si>
    <t>Obvestila in odklopi ter manipulativni stroški na območju distributivnega NN omrežja.</t>
  </si>
  <si>
    <t>Zaščita obstoječih NN 0,4 kV  omrežja v območju 6 metrov. Izvede trasiranja kabla, ročnega odkopa v območju kabla, uvlečenje obstoječih kablov v cevi, obbetoniranje cevi,...</t>
  </si>
  <si>
    <t>Nadzor pooblaščenega predstavnika distribucijske enote.</t>
  </si>
  <si>
    <t>2./</t>
  </si>
  <si>
    <t>Čiščenje terena</t>
  </si>
  <si>
    <t>Čiščenje terena pred pričetkom gradnje, poseki, rušenje, improviziranje gradenj z nakladanjem in odvozom.</t>
  </si>
  <si>
    <t>ocena m2</t>
  </si>
  <si>
    <t>3./</t>
  </si>
  <si>
    <t>Geodetska dela</t>
  </si>
  <si>
    <t>Identifikacija obstoječih podzemnih komunalnih vodov na celotni izvedbeni trasi.</t>
  </si>
  <si>
    <t>Vris / geodetski  posnetek izvedenega stanja po končanih delih.</t>
  </si>
  <si>
    <t>SKUPAJ PRIPRAVLJALNA DELA</t>
  </si>
  <si>
    <t>II.</t>
  </si>
  <si>
    <t>GRADBENA DELA</t>
  </si>
  <si>
    <t>Ročni odkop na mestu križanja in spojev skupaj z odlaganjem izkopanega materiala na rob jarka.</t>
  </si>
  <si>
    <t>Osnovni zasip in spodbijanje zaščitne cevi v višini 20 cm nad temenom cevi, s peskom gran. do 6 mm, vključno z dobavo peska:</t>
  </si>
  <si>
    <t>•  pesek gran. do 16 mm</t>
  </si>
  <si>
    <t>Zasip jarka po končanih montažnih delih in osnovnem zasipu kablovodov, z ustreznim tamponskim materialom gran. do 60 mm, z nabijanjem v plasteh po 30 cm do predpisane zbitosti (zbitost min. 97 % po SPP), kar mora izvajalec dokazati z meritvami.</t>
  </si>
  <si>
    <t>Fino planiranje terena po končanem zasipu jarka, vključno z utrditvijo in oblikovanjem prekopanih brežin ter odstranitvijo površinskega kamenja:</t>
  </si>
  <si>
    <t>• planiranje BREZ sejanja trave</t>
  </si>
  <si>
    <t>Postavitev prosto stoječe priključne merilne omare. Omaro se primerno obbetonira.</t>
  </si>
  <si>
    <t>Dobava in polaganje valjanec FeZn 25 x 4 mm položen v  plast zemlje gradbenega jareka. V dolžinskem metru so upoštevane še križne sponke.</t>
  </si>
  <si>
    <t xml:space="preserve">Dobava in položitev sigmaflex fi 125m cevi na trasi pridvidenega posega kot dvocevna kabelska kanalizacija </t>
  </si>
  <si>
    <t xml:space="preserve">Dobava in položitev opozorilnega traku z napisom „ELEKTRO“ </t>
  </si>
  <si>
    <t>III.</t>
  </si>
  <si>
    <t>MONTAŽNA DELA IN VODNIKI NN 0.4 KV MREŽE</t>
  </si>
  <si>
    <t>Dobava in položitev energetskega kabla v jarek  tipa NA2XY-J 4x70 +1,5mm2 (rjava-črna-siva-rumeno/zelena).</t>
  </si>
  <si>
    <t>Dobava in polaganje kabla v PVC zaščitni cevi fi 50 mm tipa NYY-J 5x10mm2. V ceni se upošteva še zaščitna cev!</t>
  </si>
  <si>
    <t>Priklop podzemnega energetskega kabla na priključno merilno omaro z kabelskimi končniki, komplet z drobnimi, veznimi in montažnim materialom.</t>
  </si>
  <si>
    <t>Priklop sekundarnega kabla na razdelilno enoto komplet in na P/U-PM2 z drobnimi, veznimi in montažnim materialom.</t>
  </si>
  <si>
    <t>Priključek pocinkanega valjanca na GIP in notranji LPS, komplet z bitumensko zaščito.</t>
  </si>
  <si>
    <t>Preverjanje opreme s pregledom, izvedba meritve upornosti kratkostičnih zank, ki ga opravi registrirano podjetje ter izdelava merilnega protokola.</t>
  </si>
  <si>
    <t>Merilno mesto naročnika</t>
  </si>
  <si>
    <t>Priključna merilna omara P/U-PM2 izdelana kot tipska prostostoječa na montažnem podstavku , v kateri je vgrajena naslednja oprema:</t>
  </si>
  <si>
    <t xml:space="preserve">dvotarifni števec delovne in jalove  energije z dajalnikom inpulzov </t>
  </si>
  <si>
    <t>varovalčni ločilnik ETI HVL00  3-p M8-M8 za zbiralčni sistem 60 mm</t>
  </si>
  <si>
    <t xml:space="preserve"> </t>
  </si>
  <si>
    <t xml:space="preserve">var. vložek NVgL-gG 3x25A </t>
  </si>
  <si>
    <t>kpl 1</t>
  </si>
  <si>
    <t xml:space="preserve">prenapetostni odvodnik Iskra ZAŠČITA Protec , varistor  max. Del. Napetost 320V;  Nazivni odvodni tok In  (8/20us) &gt;=30kA; max odvodni tok Imax (8/20us) &gt;=60kA ; max odvodni tok Imax (10/350us) &gt;=20kA ; Odzivni čas Ta &lt;25nS; zaščitni napetostni nivo &lt; 32000V </t>
  </si>
  <si>
    <t xml:space="preserve">Zbiralčni sistem  30x5mm </t>
  </si>
  <si>
    <t>1,5m</t>
  </si>
  <si>
    <t xml:space="preserve">vrstne sponke, PEN zbiralka, podprni izolatorji za zbiralke </t>
  </si>
  <si>
    <t xml:space="preserve">kpl </t>
  </si>
  <si>
    <t>Prekrivne plošče, vezni in drobni material</t>
  </si>
  <si>
    <t>SKUPAJ MONTAŽNA DELA IN VODNIKI NN 0.4 KV MREŽE</t>
  </si>
  <si>
    <t>Skupaj:</t>
  </si>
  <si>
    <t>22% DDV:</t>
  </si>
  <si>
    <t>Skupaj z DDV:</t>
  </si>
  <si>
    <t>POPIS DEL IN OCENA STROŠKOV INVESTICIJE ZA ČRPALIŠČA</t>
  </si>
  <si>
    <t>GORENJE PONIKVE IN DOLENJE PONIKVE</t>
  </si>
  <si>
    <t>A. Elektromontažna dela:</t>
  </si>
  <si>
    <r>
      <t>1.</t>
    </r>
    <r>
      <rPr>
        <sz val="7"/>
        <color rgb="FF000000"/>
        <rFont val="Times New Roman"/>
        <family val="1"/>
      </rPr>
      <t xml:space="preserve">       </t>
    </r>
    <r>
      <rPr>
        <sz val="10"/>
        <rFont val="Arial"/>
        <family val="2"/>
      </rPr>
      <t>Dobava in polaganje kabla tip</t>
    </r>
  </si>
  <si>
    <t>NYY-J, 4x16 1 kV, v cevi kabelske kanalizacije in v uvodnice kandelabrov s priklopi in zaključki.</t>
  </si>
  <si>
    <r>
      <t>2.</t>
    </r>
    <r>
      <rPr>
        <sz val="7"/>
        <color rgb="FF000000"/>
        <rFont val="Times New Roman"/>
        <family val="1"/>
      </rPr>
      <t xml:space="preserve">       </t>
    </r>
    <r>
      <rPr>
        <sz val="10"/>
        <rFont val="Arial"/>
        <family val="2"/>
      </rPr>
      <t>Polaganje pvc cevi fi 110</t>
    </r>
  </si>
  <si>
    <r>
      <t>3.</t>
    </r>
    <r>
      <rPr>
        <sz val="7"/>
        <color rgb="FF000000"/>
        <rFont val="Times New Roman"/>
        <family val="1"/>
      </rPr>
      <t xml:space="preserve">       </t>
    </r>
    <r>
      <rPr>
        <sz val="10"/>
        <rFont val="Arial"/>
        <family val="2"/>
      </rPr>
      <t>Dobava, polaganje in spajanje pocinkanega valjanca 25x4 mm za ozemljitev, kompletno s priborom za spajanje in pritrditve. Valjanec se položi v izkopani jarek in priključi na PEN zbiralko v prostostoječi omari P/U z imenom =RČR2 in v razdelilec =RČR1.</t>
    </r>
  </si>
  <si>
    <r>
      <t>4.</t>
    </r>
    <r>
      <rPr>
        <sz val="7"/>
        <color rgb="FF000000"/>
        <rFont val="Times New Roman"/>
        <family val="1"/>
      </rPr>
      <t xml:space="preserve">      </t>
    </r>
    <r>
      <rPr>
        <sz val="10"/>
        <rFont val="Arial"/>
        <family val="2"/>
      </rPr>
      <t>Dobava in montaža prosto stoječe omarice =RČR2 P/U na poliesterski podstavek in podložni beton. Omarica vsebuje naslednjo opremo: stopničast zbiralčni Sistem 30x5 mm BUS 60, lx varovalčno podnožje 160A, prenapetostni odvodniki, 2x bimetalna zaščita,</t>
    </r>
  </si>
  <si>
    <t>2x kontaktor, krmilni avtomat LOGO, avtomatski odklopnik B6A.</t>
  </si>
  <si>
    <t>1                                      1.400,00 €</t>
  </si>
  <si>
    <r>
      <t>5.</t>
    </r>
    <r>
      <rPr>
        <sz val="7"/>
        <color rgb="FF000000"/>
        <rFont val="Times New Roman"/>
        <family val="1"/>
      </rPr>
      <t xml:space="preserve">      </t>
    </r>
    <r>
      <rPr>
        <sz val="10"/>
        <rFont val="Arial"/>
        <family val="2"/>
      </rPr>
      <t>Dobava in montaža prosto stoječe omarice =RČR1 P/U na poliesterski podstavek in podložni beton.</t>
    </r>
  </si>
  <si>
    <t>Omarica vsebuje naslednjo opremo: stopničast zbiralčni Sistem 30x5 mm BUS 60, lx varovalčno podnožje 160A, prenapetostni odvodniki, 2x bimetalna zaščita, 2x kontaktor, krmilni avtomat LOGO, avtomatski odklopnik B6A.</t>
  </si>
  <si>
    <t xml:space="preserve">1                                     1.400,00 €  </t>
  </si>
  <si>
    <r>
      <t>6.</t>
    </r>
    <r>
      <rPr>
        <sz val="7"/>
        <color rgb="FF000000"/>
        <rFont val="Times New Roman"/>
        <family val="1"/>
      </rPr>
      <t xml:space="preserve">       </t>
    </r>
    <r>
      <rPr>
        <sz val="10"/>
        <rFont val="Arial"/>
        <family val="2"/>
      </rPr>
      <t>Izdelava el. meritev po končanih delih</t>
    </r>
  </si>
  <si>
    <r>
      <t>7.</t>
    </r>
    <r>
      <rPr>
        <sz val="7"/>
        <color rgb="FF000000"/>
        <rFont val="Times New Roman"/>
        <family val="1"/>
      </rPr>
      <t xml:space="preserve">       </t>
    </r>
    <r>
      <rPr>
        <sz val="10"/>
        <rFont val="Arial"/>
        <family val="2"/>
      </rPr>
      <t>Izdelava geodetskega posnetka in projekta izvedenih del (PID)</t>
    </r>
  </si>
  <si>
    <t>B Gradbena dela:</t>
  </si>
  <si>
    <r>
      <t>1.</t>
    </r>
    <r>
      <rPr>
        <sz val="7"/>
        <color rgb="FF000000"/>
        <rFont val="Times New Roman"/>
        <family val="1"/>
      </rPr>
      <t xml:space="preserve">      </t>
    </r>
    <r>
      <rPr>
        <sz val="10"/>
        <rFont val="Arial"/>
        <family val="2"/>
      </rPr>
      <t>Izkop jarka širine 40 cm, globine 100 cm, v terenu</t>
    </r>
  </si>
  <si>
    <t>III in IV ktg, niveliranje dna jarka, dobava in vgrajevanje podložnega betona, dobava in polaganje kabla , z obbetoniranjem, zasip jarka s komprimiranjem v plasteh s čišenjem, planiranjem in urejanjem terena.</t>
  </si>
  <si>
    <t>800                                   20.800,00 €</t>
  </si>
  <si>
    <r>
      <t>2.</t>
    </r>
    <r>
      <rPr>
        <sz val="7"/>
        <color rgb="FF000000"/>
        <rFont val="Times New Roman"/>
        <family val="1"/>
      </rPr>
      <t xml:space="preserve">      </t>
    </r>
    <r>
      <rPr>
        <sz val="10"/>
        <rFont val="Arial"/>
        <family val="2"/>
      </rPr>
      <t>Izdelava stojnega mesta za prostostoječo omaro tipa P/U . Izkop za omarico in kabelsko kanalizacijo, montaža podstavka, položitev cevi kabelske kanalizacije, zasip cevi in spodnjega dela podstavka, uvlačenje kabla, montaža omarice na podstavek, izdelava kabelskih glav, fiksiranje kablov in priklopov na razdelilec.</t>
    </r>
  </si>
  <si>
    <t xml:space="preserve">                                                          </t>
  </si>
  <si>
    <t xml:space="preserve"> kos       2                               1.900,00 €</t>
  </si>
  <si>
    <r>
      <t>3.</t>
    </r>
    <r>
      <rPr>
        <sz val="7"/>
        <color rgb="FF000000"/>
        <rFont val="Times New Roman"/>
        <family val="1"/>
      </rPr>
      <t xml:space="preserve">      </t>
    </r>
    <r>
      <rPr>
        <sz val="10"/>
        <rFont val="Arial"/>
        <family val="2"/>
      </rPr>
      <t>Izdelava podboja pod železniško progo fi 200 z uvlačenjem PEHD cevi DN250</t>
    </r>
  </si>
  <si>
    <t xml:space="preserve">15             3.200,00 €                                                  </t>
  </si>
  <si>
    <t>DDV 22%:</t>
  </si>
  <si>
    <t>9.</t>
  </si>
  <si>
    <t>NN priključek</t>
  </si>
  <si>
    <t>10.</t>
  </si>
  <si>
    <t>11.</t>
  </si>
  <si>
    <t>Dovozna cesta 2 (80m)</t>
  </si>
  <si>
    <t>Dovozna cesta (134m)</t>
  </si>
  <si>
    <t>Cesta LC425043 - pločnik in rekonstrukcija</t>
  </si>
  <si>
    <t>Izgradnja črpališč G. in D. Ponikve</t>
  </si>
  <si>
    <t>Elektronika in priključek črpališč G. in D. Ponikve</t>
  </si>
  <si>
    <t>Zakoličba obstoječih komunalnih vodov in zaščita teh vodov na celotnem območju gradbišča. Izvedba križanj z obstoječimi komunalnimi vodi in zaščita vodov skladno s soglasji in pod nadzorom upravljalca vodov vključno z obnovo opozorilnih trakov. Katastrski posnetek križanj in vnos v kataster komunalnih vodov (GIS).</t>
  </si>
  <si>
    <t>OSTALA PRIPRAVLJALNA DELA
(upoštevano v ostala pripravljalna dela)</t>
  </si>
  <si>
    <t>OSTALA PRIPRAVLJALNA DELA 
(upoštevano v skupna pripravljalna dela)</t>
  </si>
  <si>
    <t>Izdelava geodetskega posnetka izvedenih del in projektne dokumentacije izvedenih del</t>
  </si>
  <si>
    <t>Izdelava elaborata za vpis v zbirni kataster gospodarske javne infrastrukture izvedenega kanala / cevi.</t>
  </si>
  <si>
    <t>Priprava podatkov za vpis v BCP (ceste)</t>
  </si>
  <si>
    <t>12.</t>
  </si>
  <si>
    <t>13.</t>
  </si>
  <si>
    <t>Skupna pripravljalna dela</t>
  </si>
  <si>
    <r>
      <t xml:space="preserve">PROJEKTANTSKI PREDRAČUN - </t>
    </r>
    <r>
      <rPr>
        <sz val="12"/>
        <rFont val="Arial CE"/>
      </rPr>
      <t>ČRPALIŠČE GORENJE PONIKVE</t>
    </r>
  </si>
  <si>
    <t>Zakoličba objekta s postavitvijo gradbenih profilov.</t>
  </si>
  <si>
    <r>
      <t>Strojno - ročni izkop ( 95-5%) mat. III. in IV.  ktg za pripravo jarka za polaganje PVC kanalske cevi, širine dna 3,8, pod kotom 75</t>
    </r>
    <r>
      <rPr>
        <sz val="10"/>
        <rFont val="Arial"/>
        <family val="2"/>
        <charset val="238"/>
      </rPr>
      <t>°</t>
    </r>
    <r>
      <rPr>
        <sz val="10"/>
        <rFont val="Arial CE"/>
      </rPr>
      <t xml:space="preserve"> (široki izkop) povprečne globine do 4,50 m z odlaganjem na deponijo za kasnejši zasip objekta.                                                      </t>
    </r>
  </si>
  <si>
    <r>
      <t xml:space="preserve">Ročno planiranje dna jarka po širini 3,80 m po globinski zakoličbi nivelete s toč. </t>
    </r>
    <r>
      <rPr>
        <sz val="10"/>
        <rFont val="Arial"/>
        <family val="2"/>
        <charset val="238"/>
      </rPr>
      <t>±</t>
    </r>
    <r>
      <rPr>
        <sz val="10"/>
        <rFont val="Arial CE"/>
      </rPr>
      <t xml:space="preserve"> 2 cm.</t>
    </r>
  </si>
  <si>
    <t>Dobava in vgrajevanje gramoznega materiala 0-20 mm v debelini 30cm s komprimacijo do primerne zbitosti.</t>
  </si>
  <si>
    <t>- nameščanje in vbetoniranje raznih fazonskih kosov (6 kosov)</t>
  </si>
  <si>
    <t>-temelj, h=55cm, d=30cm, iz betona C20/25, klasična armaturna celica iz MAG500/560, Q503, sidra temelj - zg. Plošča RA 400/500 do fi12, vključno z opaženjem in razopaženjem in dobavo ter vgradnjo betona.</t>
  </si>
  <si>
    <t>- Dobava in montaža AB plošče fi260 h=25cm z odrtino za pokrova.</t>
  </si>
  <si>
    <t>- Dobava in vgradnja dveh pokrovov iz nerjavne pločevine dim. 800/800 nosilnosti 250kN na zaklep.</t>
  </si>
  <si>
    <t>- dobava in vgradnja naklonskega betona C30/37 XC4 v črpalni jašek.</t>
  </si>
  <si>
    <t>Dobava, transport in vgradnja nerjavečega cevnega materiala v črpalni jašek:</t>
  </si>
  <si>
    <t>- N DN80</t>
  </si>
  <si>
    <t>- JE cev DN80 z navarjeno prirobnico L = 900mm</t>
  </si>
  <si>
    <t>- JE cev DN80 L = 1550mm</t>
  </si>
  <si>
    <t>- FF DN80 L = 500mm</t>
  </si>
  <si>
    <t>- Niro vodila za spuščanje črpalk L = 4,6m</t>
  </si>
  <si>
    <t>- Niro verige za dvigovanje in spuščanje črpalk, L = 5,4m</t>
  </si>
  <si>
    <r>
      <rPr>
        <u/>
        <sz val="10"/>
        <rFont val="Arial CE"/>
      </rPr>
      <t xml:space="preserve">Opozorilo: </t>
    </r>
    <r>
      <rPr>
        <sz val="10"/>
        <rFont val="Arial CE"/>
      </rPr>
      <t>vsi vijaki in ostali vezni material mora bit iz nerjavečega materiala.</t>
    </r>
  </si>
  <si>
    <t>Dobava in montaža regulacijske armature komplet s spojnim in tesnilnim materialom - NP16</t>
  </si>
  <si>
    <t>- ploščati zasun DN80 Hawle NR482</t>
  </si>
  <si>
    <t>- nepovratni ventil DN80 z ročico in utežjo</t>
  </si>
  <si>
    <t>Dobava in montaža potopne - motorne fekalne črpalke s karakteristikami: Q=5l/s pri H=33,50m</t>
  </si>
  <si>
    <t>Strojno - ročni (95 - 5%) zasip jarka kanalizacije z izkopanim materialom III. In IV. kat.s strojnim komprimiranjem s težkimi komprimacijskimi sredstvi v plasteh po 30 cm do zbitosti 100 MPa.(Posebno pozornost posvetiti primerni granulaciji in komprimiranju ob, med in nad jaški.)</t>
  </si>
  <si>
    <t>- podložni beton debeline 10cm iz betona C15/20</t>
  </si>
  <si>
    <t>- temeljna plošča, h=55cm, beton C25/30, klasična armaturna celica iz MAG500/560, Q503, sidra temeljna plošča - stena RA 400/500 do fi12, vključno z opaženjem in razopaženjem ter dobavo ter vgradnjo betona.</t>
  </si>
  <si>
    <t>- temeljni prstan, h=155cm, d=30cm, iz betona C20/25, klasična armaturna celica iz MAG500/560, Q503, vključno z opaženjem in razopaženjem in dobavo ter vgradnjo betona.</t>
  </si>
  <si>
    <t>- dobava, vgradnja in montaža krovne AB plošče z vstopno odrtino 0,8x0,8m</t>
  </si>
  <si>
    <t>- dobava, vgradnja in montaža pokrova dimenzije 800/800mm iz nerjavne pločevine, z dvižnim mehanizmom na zaklep, nosilnost 250kN</t>
  </si>
  <si>
    <t>Izdelava, dobava in montaža AB armaturnega jaška DN1500, višine 3m</t>
  </si>
  <si>
    <t>- v ceni zajeti izdelavo odprtin za tlačne vode.</t>
  </si>
  <si>
    <t>- dobava in montaža NIRO lestve šir. 40cm in dolžine 3.2m</t>
  </si>
  <si>
    <t>SKUPAJ ČRPALIŠČE - gradbena dela</t>
  </si>
  <si>
    <t>REVIZIJSKI JAŠEK DN1000</t>
  </si>
  <si>
    <t>ARMATURNI JAŠEK DN1500</t>
  </si>
  <si>
    <t>ČRPALNI JAŠEK DN1800</t>
  </si>
  <si>
    <t>Dobava in vgradnja vodotesnih revizijskih jaškov globine nad 3m iz PE DN1000, z napravo AB temelja in venca, obdelavo vtoka v jašek ter z vgraditvijo LTŽ pokrova s tesnenjem dim. fi60cm nosilnosti 250kN (ali 400kN);</t>
  </si>
  <si>
    <t>- žabji poklopec DN250</t>
  </si>
  <si>
    <t>Preizkusni zagon in tlačni preizkus</t>
  </si>
  <si>
    <t>Črpališče - gradbena in strojna dela</t>
  </si>
  <si>
    <t>Črpališča - gradbena in strojna dela</t>
  </si>
  <si>
    <t>Skupaj črpališče Zgornje Ponikve:</t>
  </si>
  <si>
    <r>
      <t xml:space="preserve">PROJEKTANTSKI PREDRAČUN - </t>
    </r>
    <r>
      <rPr>
        <sz val="12"/>
        <rFont val="Arial CE"/>
      </rPr>
      <t>ČRPALIŠČE DOLENJE PONIKVE</t>
    </r>
  </si>
  <si>
    <t>Izdelava, dobava in montaža AB armaturnega jaška DN1500, višine 2m</t>
  </si>
  <si>
    <t>- dobava in montaža NIRO lestve šir. 40cm in dolžine 1.7m</t>
  </si>
  <si>
    <t>- JE cev DN80 L = 1780mm</t>
  </si>
  <si>
    <t>- Niro vodila za spuščanje črpalk L = 3,2m</t>
  </si>
  <si>
    <t>- Niro verige za dvigovanje in spuščanje črpalk, L = 4,0m</t>
  </si>
  <si>
    <t>Izdelava, dobava in montaža črpalnega jaška iz poliestra DN1800; h=3,34m. Črpalni jašek se montira z ustreznim avtodvigalom. Z vsem materialom in deli:</t>
  </si>
  <si>
    <t>Izdelava, dobava in montaža črpalnega jaška iz poliestra DN1800, h=4,61m. Črpalni jašek se montira z ustreznim avtodvigalom. Z vsem materialom in deli:</t>
  </si>
  <si>
    <t xml:space="preserve">Iz asfalta; AC 8 surf B 70/100 A5 (hodnik za pešce) </t>
  </si>
  <si>
    <t>14.</t>
  </si>
  <si>
    <t>15.</t>
  </si>
  <si>
    <t>2.3 Zasipanje z odkopanim materialom</t>
  </si>
  <si>
    <t>2.4 Prevozi, razprostiranje in ureditev deponij materiala</t>
  </si>
  <si>
    <t>enota</t>
  </si>
  <si>
    <t>vrednost</t>
  </si>
  <si>
    <t>VREDNOST</t>
  </si>
  <si>
    <t>cena/enoto</t>
  </si>
  <si>
    <t>ELEKTROMONTAŽNA DELA SKUPAJ</t>
  </si>
  <si>
    <t>GRADBENA DELA SKUPAJ</t>
  </si>
  <si>
    <t>IZKOPI (večina upoštevano v cesti)</t>
  </si>
  <si>
    <t>4..</t>
  </si>
  <si>
    <t>OSTALA PRIPRAVLJALNA DELA (večina upoštevano v cesti)</t>
  </si>
  <si>
    <t>OSTALA PRIPRAVLJALNA DELA (večina upoštevana v cesti)</t>
  </si>
  <si>
    <t>1.2.</t>
  </si>
  <si>
    <t>OSTALA PRIPRAVLJALNA DELA večina (upoštevano v cesti)</t>
  </si>
  <si>
    <t xml:space="preserve">4.0. KABELSKA KANALIZACIJA </t>
  </si>
  <si>
    <t>OSTALO SKUPAJ</t>
  </si>
  <si>
    <t>ELEKTRO DELA OSTALO</t>
  </si>
  <si>
    <t>(izkop, planum, odvoz, ipd. večina upoštevano v LC)</t>
  </si>
  <si>
    <t>REKAPITULACIJA - CESTA LC 425032 PLOČNIK IN REKONSTRUKCIJA</t>
  </si>
  <si>
    <t xml:space="preserve">REKAPITULACIJA - DOVOZNA CESTA - cca. 134m </t>
  </si>
  <si>
    <t>Opomba: izvedba dovozne poti bo v makadamski izvedbi brez asfaltnih površin. Nasipni material je zagotovljen in ni predmet javnega naročila.</t>
  </si>
  <si>
    <t>2.3 Brežine in zelenice</t>
  </si>
  <si>
    <t>3 KONSTRUKCIJE</t>
  </si>
  <si>
    <t>3.1 Škatlasti prepust</t>
  </si>
  <si>
    <t>Ulica Gorenje Ponikve</t>
  </si>
  <si>
    <t>Ulica Dolenje Ponikve</t>
  </si>
  <si>
    <t>REKAPITULACIJA - rekonstrukcija cest Gorenje Ponikve - cca. 570 m</t>
  </si>
  <si>
    <t>Projektantski predračun - rekonstrukcija cest Gorenje Ponikve - cca. 570 m</t>
  </si>
  <si>
    <t>REKAPITULACIJA - rekonstrukcija cest Dolenje Ponikve - cca. 200 m</t>
  </si>
  <si>
    <t>Projektantski predračun - rekonstrukcija cest Dolenje Ponikve - cca. 200 m</t>
  </si>
  <si>
    <t>Dobava in vgradnja asfalta AC 16 surf B50/70 A4, debeline 7cm.</t>
  </si>
  <si>
    <t>Nakladanje in odvoz viška materiala na trajno deponijo "Komunala Trebnje, Zbirni center Globoko, Hudeje 40, Trebnje" z vsemi deli in stroški na deponiji</t>
  </si>
  <si>
    <t>Projektantski nadzor oz. podpora projektanta</t>
  </si>
  <si>
    <t>53 004</t>
  </si>
  <si>
    <t>22 008</t>
  </si>
  <si>
    <t>50 005</t>
  </si>
  <si>
    <t>53 006</t>
  </si>
  <si>
    <t>53 005</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</si>
</sst>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_ * #,##0.00_)\ &quot;€&quot;_ ;_ * \(#,##0.00\)\ &quot;€&quot;_ ;_ * &quot;-&quot;??_)\ &quot;€&quot;_ ;_ @_ "/>
    <numFmt numFmtId="165" formatCode="#,##0.00\ [$EUR]"/>
    <numFmt numFmtId="166" formatCode="#,##0.00\ &quot;€&quot;"/>
    <numFmt numFmtId="167" formatCode="#,##0.00\ _S_I_T"/>
    <numFmt numFmtId="168" formatCode="0;[Red]0"/>
    <numFmt numFmtId="169" formatCode="#,##0.0;[Red]#,##0.0"/>
    <numFmt numFmtId="170" formatCode="#,##0.00;[Red]#,##0.00"/>
    <numFmt numFmtId="171" formatCode="#,##0\ [$€-1];[Red]\-#,##0\ [$€-1]"/>
    <numFmt numFmtId="172" formatCode="#,##0.00&quot; €&quot;"/>
    <numFmt numFmtId="173" formatCode="#,##0.00\ [$€-424];\-#,##0.00\ [$€-424]"/>
    <numFmt numFmtId="174" formatCode="0.00_)"/>
    <numFmt numFmtId="175" formatCode="0_)"/>
    <numFmt numFmtId="176" formatCode="_(* #,##0.00_);_(* \(#,##0.00\);_(* \-??_);_(@_)"/>
    <numFmt numFmtId="177" formatCode="#,##0.00\ [$€-1]"/>
  </numFmts>
  <fonts count="88">
    <font>
      <sz val="10"/>
      <name val="Arial"/>
      <charset val="238"/>
    </font>
    <font>
      <sz val="8"/>
      <name val="Arial"/>
      <family val="2"/>
      <charset val="238"/>
    </font>
    <font>
      <b/>
      <sz val="14"/>
      <name val="Arial"/>
      <family val="2"/>
      <charset val="238"/>
    </font>
    <font>
      <sz val="12"/>
      <name val="Arial"/>
      <family val="2"/>
      <charset val="238"/>
    </font>
    <font>
      <b/>
      <sz val="10"/>
      <name val="Arial"/>
      <family val="2"/>
      <charset val="238"/>
    </font>
    <font>
      <sz val="10"/>
      <name val="Arial"/>
      <family val="2"/>
      <charset val="238"/>
    </font>
    <font>
      <sz val="11"/>
      <name val="Arial"/>
      <family val="2"/>
      <charset val="238"/>
    </font>
    <font>
      <b/>
      <sz val="11"/>
      <name val="Arial"/>
      <family val="2"/>
      <charset val="238"/>
    </font>
    <font>
      <sz val="10"/>
      <name val="Arial CE"/>
    </font>
    <font>
      <b/>
      <sz val="12"/>
      <name val="Arial CE"/>
    </font>
    <font>
      <b/>
      <sz val="14"/>
      <name val="Arial CE"/>
      <family val="2"/>
    </font>
    <font>
      <b/>
      <sz val="12"/>
      <name val="Arial CE"/>
    </font>
    <font>
      <sz val="12"/>
      <name val="Arial CE"/>
      <family val="2"/>
    </font>
    <font>
      <b/>
      <sz val="20"/>
      <name val="Arial CE"/>
      <family val="2"/>
    </font>
    <font>
      <sz val="12"/>
      <name val="Arial"/>
      <family val="2"/>
      <charset val="238"/>
    </font>
    <font>
      <b/>
      <sz val="12"/>
      <name val="Arial"/>
      <family val="2"/>
      <charset val="238"/>
    </font>
    <font>
      <b/>
      <i/>
      <sz val="11"/>
      <name val="Arial"/>
      <family val="2"/>
      <charset val="238"/>
    </font>
    <font>
      <i/>
      <sz val="11"/>
      <name val="Arial"/>
      <family val="2"/>
      <charset val="238"/>
    </font>
    <font>
      <sz val="11"/>
      <name val="Arial CE"/>
      <family val="2"/>
    </font>
    <font>
      <sz val="11"/>
      <name val="Arial CE"/>
      <family val="2"/>
    </font>
    <font>
      <b/>
      <sz val="10"/>
      <name val="Arial CE"/>
    </font>
    <font>
      <b/>
      <sz val="11"/>
      <name val="Arial CE"/>
    </font>
    <font>
      <sz val="10"/>
      <name val="Arial CE"/>
    </font>
    <font>
      <sz val="12"/>
      <name val="Arial CE"/>
      <family val="2"/>
    </font>
    <font>
      <sz val="9"/>
      <name val="Courier New CE"/>
    </font>
    <font>
      <sz val="9"/>
      <name val="Arial"/>
      <family val="2"/>
      <charset val="238"/>
    </font>
    <font>
      <i/>
      <sz val="6"/>
      <name val="Arial"/>
      <family val="2"/>
      <charset val="238"/>
    </font>
    <font>
      <sz val="5"/>
      <name val="Courier New CE"/>
      <family val="3"/>
    </font>
    <font>
      <b/>
      <sz val="10"/>
      <name val="Courier New CE"/>
      <family val="3"/>
    </font>
    <font>
      <b/>
      <i/>
      <sz val="12"/>
      <name val="Arial"/>
      <family val="2"/>
      <charset val="238"/>
    </font>
    <font>
      <sz val="9"/>
      <color indexed="10"/>
      <name val="Arial"/>
      <family val="2"/>
      <charset val="238"/>
    </font>
    <font>
      <sz val="8"/>
      <name val="Verdana"/>
      <family val="2"/>
      <charset val="238"/>
    </font>
    <font>
      <sz val="10"/>
      <name val="Arial"/>
      <family val="2"/>
      <charset val="238"/>
    </font>
    <font>
      <u/>
      <sz val="10"/>
      <color theme="10"/>
      <name val="Arial"/>
      <family val="2"/>
      <charset val="238"/>
    </font>
    <font>
      <u/>
      <sz val="10"/>
      <color theme="11"/>
      <name val="Arial"/>
      <family val="2"/>
      <charset val="238"/>
    </font>
    <font>
      <sz val="10"/>
      <name val="Arial CE"/>
      <family val="2"/>
      <charset val="238"/>
    </font>
    <font>
      <b/>
      <sz val="10"/>
      <name val="Arial CE"/>
      <charset val="238"/>
    </font>
    <font>
      <sz val="10"/>
      <name val="Arial"/>
      <family val="2"/>
    </font>
    <font>
      <b/>
      <sz val="10"/>
      <name val="Arial"/>
      <family val="2"/>
    </font>
    <font>
      <b/>
      <sz val="11"/>
      <name val="Arial CE"/>
      <family val="2"/>
    </font>
    <font>
      <sz val="10"/>
      <name val="Arial"/>
      <family val="2"/>
    </font>
    <font>
      <b/>
      <sz val="10"/>
      <name val="Calibri"/>
      <family val="2"/>
      <scheme val="minor"/>
    </font>
    <font>
      <sz val="10"/>
      <name val="Calibri"/>
      <family val="2"/>
      <scheme val="minor"/>
    </font>
    <font>
      <b/>
      <i/>
      <sz val="10"/>
      <name val="Calibri"/>
      <family val="2"/>
      <scheme val="minor"/>
    </font>
    <font>
      <sz val="10"/>
      <color indexed="10"/>
      <name val="Calibri"/>
      <family val="2"/>
      <scheme val="minor"/>
    </font>
    <font>
      <b/>
      <sz val="10"/>
      <color indexed="10"/>
      <name val="Calibri"/>
      <family val="2"/>
      <scheme val="minor"/>
    </font>
    <font>
      <i/>
      <sz val="10"/>
      <name val="Calibri"/>
      <family val="2"/>
      <scheme val="minor"/>
    </font>
    <font>
      <sz val="8"/>
      <name val="Calibri"/>
      <family val="2"/>
      <scheme val="minor"/>
    </font>
    <font>
      <b/>
      <sz val="8"/>
      <name val="Calibri"/>
      <family val="2"/>
      <scheme val="minor"/>
    </font>
    <font>
      <sz val="8"/>
      <color indexed="10"/>
      <name val="Calibri"/>
      <family val="2"/>
      <scheme val="minor"/>
    </font>
    <font>
      <i/>
      <sz val="8"/>
      <name val="Calibri"/>
      <family val="2"/>
      <scheme val="minor"/>
    </font>
    <font>
      <sz val="10"/>
      <color indexed="8"/>
      <name val="Calibri"/>
      <family val="2"/>
      <scheme val="minor"/>
    </font>
    <font>
      <sz val="10"/>
      <color indexed="8"/>
      <name val="Calibri"/>
      <family val="2"/>
    </font>
    <font>
      <sz val="8"/>
      <color indexed="8"/>
      <name val="Calibri"/>
      <family val="2"/>
      <scheme val="minor"/>
    </font>
    <font>
      <b/>
      <sz val="8"/>
      <color indexed="8"/>
      <name val="Calibri"/>
      <family val="2"/>
      <scheme val="minor"/>
    </font>
    <font>
      <i/>
      <sz val="8"/>
      <color indexed="8"/>
      <name val="Calibri"/>
      <family val="2"/>
      <scheme val="minor"/>
    </font>
    <font>
      <i/>
      <sz val="10"/>
      <color indexed="8"/>
      <name val="Calibri"/>
      <family val="2"/>
      <scheme val="minor"/>
    </font>
    <font>
      <sz val="10"/>
      <name val="HelveticaPS"/>
      <family val="1"/>
      <charset val="238"/>
    </font>
    <font>
      <b/>
      <sz val="8"/>
      <name val="Arial CE"/>
      <family val="2"/>
      <charset val="238"/>
    </font>
    <font>
      <b/>
      <sz val="12"/>
      <name val="Arial CE"/>
      <family val="2"/>
      <charset val="238"/>
    </font>
    <font>
      <sz val="8"/>
      <name val="Arial CE"/>
      <family val="2"/>
      <charset val="238"/>
    </font>
    <font>
      <b/>
      <u/>
      <sz val="12"/>
      <name val="Arial CE"/>
      <family val="2"/>
      <charset val="238"/>
    </font>
    <font>
      <b/>
      <sz val="10"/>
      <name val="Arial CE"/>
      <family val="2"/>
      <charset val="238"/>
    </font>
    <font>
      <sz val="12"/>
      <name val="Arial CE"/>
      <family val="2"/>
      <charset val="238"/>
    </font>
    <font>
      <sz val="10"/>
      <name val="Arial CE"/>
      <charset val="238"/>
    </font>
    <font>
      <b/>
      <sz val="14"/>
      <name val="Arial CE"/>
      <family val="2"/>
      <charset val="238"/>
    </font>
    <font>
      <b/>
      <sz val="11"/>
      <name val="Arial CE"/>
      <family val="2"/>
      <charset val="238"/>
    </font>
    <font>
      <b/>
      <u/>
      <sz val="11"/>
      <name val="Arial CE"/>
      <family val="2"/>
      <charset val="238"/>
    </font>
    <font>
      <sz val="16"/>
      <name val="Arial CE"/>
      <family val="2"/>
      <charset val="238"/>
    </font>
    <font>
      <sz val="12"/>
      <name val="Times New Roman CE"/>
      <family val="1"/>
      <charset val="238"/>
    </font>
    <font>
      <sz val="10"/>
      <name val="Times New Roman"/>
      <family val="1"/>
    </font>
    <font>
      <b/>
      <sz val="14"/>
      <name val="Calibri"/>
      <family val="2"/>
    </font>
    <font>
      <b/>
      <sz val="11"/>
      <name val="Arial"/>
      <family val="2"/>
    </font>
    <font>
      <sz val="10"/>
      <color rgb="FF000000"/>
      <name val="Times New Roman"/>
      <family val="1"/>
    </font>
    <font>
      <sz val="7"/>
      <color rgb="FF000000"/>
      <name val="Times New Roman"/>
      <family val="1"/>
    </font>
    <font>
      <u/>
      <sz val="14"/>
      <name val="Times New Roman"/>
      <family val="1"/>
    </font>
    <font>
      <u/>
      <sz val="14"/>
      <name val="Arial"/>
      <family val="2"/>
    </font>
    <font>
      <sz val="12"/>
      <name val="Arial CE"/>
    </font>
    <font>
      <sz val="11"/>
      <name val="Arial CE"/>
    </font>
    <font>
      <u/>
      <sz val="10"/>
      <name val="Arial CE"/>
    </font>
    <font>
      <u/>
      <sz val="10"/>
      <name val="Arial"/>
      <family val="2"/>
      <charset val="238"/>
    </font>
    <font>
      <sz val="9"/>
      <name val="Arial CE"/>
      <family val="2"/>
      <charset val="238"/>
    </font>
    <font>
      <sz val="9"/>
      <name val="Times New Roman CE"/>
      <family val="1"/>
      <charset val="238"/>
    </font>
    <font>
      <b/>
      <sz val="9"/>
      <name val="Arial CE"/>
      <family val="2"/>
      <charset val="238"/>
    </font>
    <font>
      <b/>
      <sz val="10"/>
      <color rgb="FF000000"/>
      <name val="Times New Roman"/>
      <family val="1"/>
      <charset val="238"/>
    </font>
    <font>
      <b/>
      <sz val="10"/>
      <name val="Calibri"/>
      <family val="2"/>
      <charset val="238"/>
      <scheme val="minor"/>
    </font>
    <font>
      <b/>
      <u/>
      <sz val="10"/>
      <name val="Arial CE"/>
      <family val="2"/>
      <charset val="238"/>
    </font>
    <font>
      <sz val="10"/>
      <color rgb="FFFF0000"/>
      <name val="Arial"/>
      <family val="2"/>
      <charset val="23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style="thin">
        <color auto="1"/>
      </left>
      <right/>
      <top style="thin">
        <color auto="1"/>
      </top>
      <bottom style="double">
        <color auto="1"/>
      </bottom>
      <diagonal/>
    </border>
    <border>
      <left/>
      <right style="thin">
        <color auto="1"/>
      </right>
      <top/>
      <bottom/>
      <diagonal/>
    </border>
    <border>
      <left style="thin">
        <color auto="1"/>
      </left>
      <right/>
      <top/>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ck">
        <color auto="1"/>
      </left>
      <right/>
      <top/>
      <bottom style="thin">
        <color auto="1"/>
      </bottom>
      <diagonal/>
    </border>
    <border>
      <left/>
      <right style="thick">
        <color auto="1"/>
      </right>
      <top/>
      <bottom style="thin">
        <color auto="1"/>
      </bottom>
      <diagonal/>
    </border>
    <border>
      <left style="thick">
        <color auto="1"/>
      </left>
      <right/>
      <top style="double">
        <color auto="1"/>
      </top>
      <bottom style="thin">
        <color auto="1"/>
      </bottom>
      <diagonal/>
    </border>
    <border>
      <left/>
      <right/>
      <top style="double">
        <color auto="1"/>
      </top>
      <bottom style="thin">
        <color auto="1"/>
      </bottom>
      <diagonal/>
    </border>
    <border>
      <left/>
      <right style="thick">
        <color auto="1"/>
      </right>
      <top style="double">
        <color auto="1"/>
      </top>
      <bottom style="thin">
        <color auto="1"/>
      </bottom>
      <diagonal/>
    </border>
    <border>
      <left style="thick">
        <color auto="1"/>
      </left>
      <right/>
      <top style="thin">
        <color auto="1"/>
      </top>
      <bottom/>
      <diagonal/>
    </border>
    <border>
      <left/>
      <right style="thick">
        <color auto="1"/>
      </right>
      <top style="thin">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8"/>
      </left>
      <right style="thin">
        <color indexed="8"/>
      </right>
      <top style="thin">
        <color indexed="8"/>
      </top>
      <bottom style="thin">
        <color indexed="8"/>
      </bottom>
      <diagonal/>
    </border>
    <border>
      <left/>
      <right/>
      <top/>
      <bottom style="double">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style="double">
        <color indexed="8"/>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thin">
        <color indexed="8"/>
      </top>
      <bottom style="double">
        <color indexed="8"/>
      </bottom>
      <diagonal/>
    </border>
    <border>
      <left/>
      <right/>
      <top/>
      <bottom style="thin">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auto="1"/>
      </bottom>
      <diagonal/>
    </border>
    <border>
      <left style="thin">
        <color auto="1"/>
      </left>
      <right/>
      <top style="thin">
        <color auto="1"/>
      </top>
      <bottom style="medium">
        <color auto="1"/>
      </bottom>
      <diagonal/>
    </border>
    <border>
      <left/>
      <right/>
      <top style="thin">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1">
    <xf numFmtId="0" fontId="0" fillId="0" borderId="0"/>
    <xf numFmtId="0" fontId="5" fillId="0" borderId="0"/>
    <xf numFmtId="0" fontId="8" fillId="0" borderId="0"/>
    <xf numFmtId="0" fontId="14" fillId="0" borderId="0"/>
    <xf numFmtId="0" fontId="24" fillId="0" borderId="0"/>
    <xf numFmtId="4" fontId="27" fillId="0" borderId="0">
      <alignment vertical="top"/>
      <protection hidden="1"/>
    </xf>
    <xf numFmtId="9" fontId="24" fillId="0" borderId="0" applyFont="0" applyFill="0" applyBorder="0" applyAlignment="0" applyProtection="0"/>
    <xf numFmtId="4" fontId="28" fillId="0" borderId="0" applyProtection="0">
      <alignment horizontal="left"/>
      <protection locked="0"/>
    </xf>
    <xf numFmtId="0" fontId="22" fillId="0" borderId="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0"/>
    <xf numFmtId="164" fontId="37" fillId="0" borderId="0" applyFont="0" applyFill="0" applyBorder="0" applyAlignment="0" applyProtection="0"/>
    <xf numFmtId="0" fontId="40" fillId="0" borderId="0"/>
    <xf numFmtId="0" fontId="40" fillId="0" borderId="0"/>
    <xf numFmtId="174" fontId="57" fillId="0" borderId="0"/>
    <xf numFmtId="176" fontId="57" fillId="0" borderId="0" applyFill="0" applyBorder="0" applyAlignment="0" applyProtection="0"/>
  </cellStyleXfs>
  <cellXfs count="778">
    <xf numFmtId="0" fontId="0" fillId="0" borderId="0" xfId="0"/>
    <xf numFmtId="0" fontId="2" fillId="0" borderId="0" xfId="0" applyFont="1"/>
    <xf numFmtId="0" fontId="3" fillId="0" borderId="0" xfId="0" applyFont="1"/>
    <xf numFmtId="49" fontId="2" fillId="0" borderId="0" xfId="0" applyNumberFormat="1" applyFont="1" applyAlignment="1">
      <alignment horizontal="center" vertical="center"/>
    </xf>
    <xf numFmtId="49" fontId="0" fillId="0" borderId="0" xfId="0" applyNumberFormat="1" applyAlignment="1">
      <alignment horizontal="center" vertical="center"/>
    </xf>
    <xf numFmtId="4" fontId="2" fillId="0" borderId="0" xfId="0" applyNumberFormat="1" applyFont="1" applyAlignment="1">
      <alignment horizontal="right" indent="1"/>
    </xf>
    <xf numFmtId="4" fontId="0" fillId="0" borderId="0" xfId="0" applyNumberFormat="1" applyAlignment="1">
      <alignment horizontal="right" indent="1"/>
    </xf>
    <xf numFmtId="165" fontId="2" fillId="0" borderId="0" xfId="0" applyNumberFormat="1" applyFont="1" applyAlignment="1">
      <alignment horizontal="right" indent="1"/>
    </xf>
    <xf numFmtId="165" fontId="0" fillId="0" borderId="0" xfId="0" applyNumberFormat="1" applyAlignment="1">
      <alignment horizontal="right" indent="1"/>
    </xf>
    <xf numFmtId="0" fontId="2" fillId="0" borderId="0" xfId="0" applyFont="1" applyAlignment="1">
      <alignment horizontal="right" indent="1"/>
    </xf>
    <xf numFmtId="0" fontId="0" fillId="0" borderId="0" xfId="0" applyAlignment="1">
      <alignment horizontal="right" indent="1"/>
    </xf>
    <xf numFmtId="0" fontId="4" fillId="0" borderId="0" xfId="0" applyFont="1"/>
    <xf numFmtId="49" fontId="4" fillId="0" borderId="1" xfId="0" applyNumberFormat="1" applyFont="1" applyBorder="1" applyAlignment="1">
      <alignment horizontal="center" vertical="center"/>
    </xf>
    <xf numFmtId="4" fontId="4" fillId="0" borderId="1" xfId="0" applyNumberFormat="1" applyFont="1" applyBorder="1" applyAlignment="1">
      <alignment horizontal="right" indent="1"/>
    </xf>
    <xf numFmtId="165" fontId="4" fillId="0" borderId="1" xfId="0" applyNumberFormat="1" applyFont="1" applyBorder="1" applyAlignment="1">
      <alignment horizontal="right" indent="1"/>
    </xf>
    <xf numFmtId="0" fontId="4" fillId="0" borderId="1" xfId="0" applyFont="1" applyBorder="1"/>
    <xf numFmtId="49" fontId="0" fillId="0" borderId="1" xfId="0" applyNumberFormat="1" applyBorder="1" applyAlignment="1">
      <alignment horizontal="center" vertical="center"/>
    </xf>
    <xf numFmtId="4" fontId="0" fillId="0" borderId="1" xfId="0" applyNumberFormat="1" applyBorder="1" applyAlignment="1">
      <alignment horizontal="right" indent="1"/>
    </xf>
    <xf numFmtId="165" fontId="0" fillId="0" borderId="1" xfId="0" applyNumberFormat="1" applyBorder="1" applyAlignment="1">
      <alignment horizontal="right" indent="1"/>
    </xf>
    <xf numFmtId="0" fontId="0" fillId="0" borderId="1" xfId="0" applyBorder="1"/>
    <xf numFmtId="49" fontId="0" fillId="0" borderId="1" xfId="0" applyNumberFormat="1" applyBorder="1" applyAlignment="1" applyProtection="1">
      <alignment horizontal="center" vertical="center"/>
    </xf>
    <xf numFmtId="165" fontId="0" fillId="0" borderId="1" xfId="0" applyNumberFormat="1" applyBorder="1" applyAlignment="1" applyProtection="1">
      <alignment horizontal="right" indent="1"/>
      <protection locked="0"/>
    </xf>
    <xf numFmtId="4" fontId="0" fillId="0" borderId="1" xfId="0" applyNumberFormat="1" applyBorder="1" applyAlignment="1" applyProtection="1">
      <alignment horizontal="right" indent="1"/>
    </xf>
    <xf numFmtId="49" fontId="4" fillId="0" borderId="1" xfId="0" applyNumberFormat="1" applyFont="1" applyBorder="1" applyAlignment="1" applyProtection="1">
      <alignment horizontal="center" vertical="center"/>
    </xf>
    <xf numFmtId="4" fontId="4" fillId="0" borderId="1" xfId="0" applyNumberFormat="1" applyFont="1" applyBorder="1" applyAlignment="1" applyProtection="1">
      <alignment horizontal="right" indent="1"/>
    </xf>
    <xf numFmtId="165" fontId="4" fillId="0" borderId="1" xfId="0" applyNumberFormat="1" applyFont="1" applyBorder="1" applyAlignment="1" applyProtection="1">
      <alignment horizontal="right" indent="1"/>
      <protection locked="0"/>
    </xf>
    <xf numFmtId="49" fontId="4" fillId="0" borderId="2" xfId="0" applyNumberFormat="1" applyFont="1" applyBorder="1" applyAlignment="1">
      <alignment horizontal="center" vertical="center"/>
    </xf>
    <xf numFmtId="4" fontId="4" fillId="0" borderId="2" xfId="0" applyNumberFormat="1" applyFont="1" applyBorder="1" applyAlignment="1">
      <alignment horizontal="right" indent="1"/>
    </xf>
    <xf numFmtId="165" fontId="4" fillId="0" borderId="2" xfId="0" applyNumberFormat="1" applyFont="1" applyBorder="1" applyAlignment="1">
      <alignment horizontal="right" indent="1"/>
    </xf>
    <xf numFmtId="0" fontId="4" fillId="0" borderId="2" xfId="0" applyFont="1" applyBorder="1"/>
    <xf numFmtId="49" fontId="4" fillId="3" borderId="3" xfId="0" applyNumberFormat="1" applyFont="1" applyFill="1" applyBorder="1" applyAlignment="1">
      <alignment horizontal="center" vertical="center"/>
    </xf>
    <xf numFmtId="49" fontId="7" fillId="3" borderId="4" xfId="0" applyNumberFormat="1" applyFont="1" applyFill="1" applyBorder="1" applyAlignment="1">
      <alignment horizontal="center" vertical="center"/>
    </xf>
    <xf numFmtId="0" fontId="7" fillId="3" borderId="4" xfId="0" applyFont="1" applyFill="1" applyBorder="1" applyAlignment="1">
      <alignment horizontal="center" vertical="center" wrapText="1"/>
    </xf>
    <xf numFmtId="4" fontId="7" fillId="3" borderId="4" xfId="0" applyNumberFormat="1" applyFont="1" applyFill="1" applyBorder="1" applyAlignment="1">
      <alignment horizontal="center" vertical="center"/>
    </xf>
    <xf numFmtId="165" fontId="7" fillId="3" borderId="4" xfId="0" applyNumberFormat="1" applyFont="1" applyFill="1" applyBorder="1" applyAlignment="1">
      <alignment horizontal="center" vertical="center"/>
    </xf>
    <xf numFmtId="165" fontId="7" fillId="3" borderId="5" xfId="0" applyNumberFormat="1" applyFont="1" applyFill="1" applyBorder="1" applyAlignment="1">
      <alignment horizontal="center" vertical="center"/>
    </xf>
    <xf numFmtId="0" fontId="8" fillId="0" borderId="0" xfId="2"/>
    <xf numFmtId="0" fontId="8" fillId="0" borderId="6" xfId="2" applyBorder="1"/>
    <xf numFmtId="0" fontId="8" fillId="0" borderId="7" xfId="2" applyBorder="1"/>
    <xf numFmtId="0" fontId="8" fillId="0" borderId="8" xfId="2" applyBorder="1"/>
    <xf numFmtId="0" fontId="8" fillId="0" borderId="9" xfId="2" applyBorder="1"/>
    <xf numFmtId="0" fontId="8" fillId="0" borderId="10" xfId="2" applyBorder="1"/>
    <xf numFmtId="0" fontId="8" fillId="0" borderId="11" xfId="2" applyBorder="1"/>
    <xf numFmtId="0" fontId="8" fillId="0" borderId="12" xfId="2" applyBorder="1"/>
    <xf numFmtId="0" fontId="8" fillId="0" borderId="13" xfId="2" applyBorder="1"/>
    <xf numFmtId="0" fontId="8" fillId="0" borderId="14" xfId="2" applyBorder="1"/>
    <xf numFmtId="0" fontId="8" fillId="0" borderId="0" xfId="2" applyBorder="1"/>
    <xf numFmtId="0" fontId="10" fillId="0" borderId="0" xfId="2" applyFont="1" applyAlignment="1"/>
    <xf numFmtId="0" fontId="10" fillId="0" borderId="0" xfId="2" applyFont="1" applyAlignment="1">
      <alignment horizontal="center"/>
    </xf>
    <xf numFmtId="0" fontId="8" fillId="0" borderId="0" xfId="2" applyFont="1" applyAlignment="1">
      <alignment horizontal="center"/>
    </xf>
    <xf numFmtId="0" fontId="5" fillId="0" borderId="0" xfId="1"/>
    <xf numFmtId="166" fontId="5" fillId="0" borderId="0" xfId="1" applyNumberFormat="1"/>
    <xf numFmtId="166" fontId="15" fillId="0" borderId="15" xfId="1" applyNumberFormat="1" applyFont="1" applyBorder="1" applyAlignment="1">
      <alignment horizontal="right" vertical="center" wrapText="1" indent="2"/>
    </xf>
    <xf numFmtId="0" fontId="5" fillId="0" borderId="16" xfId="1" applyBorder="1"/>
    <xf numFmtId="49" fontId="7" fillId="0" borderId="17" xfId="1" applyNumberFormat="1" applyFont="1" applyFill="1" applyBorder="1" applyAlignment="1">
      <alignment horizontal="left" vertical="center" indent="1"/>
    </xf>
    <xf numFmtId="0" fontId="5" fillId="0" borderId="0" xfId="1" applyBorder="1"/>
    <xf numFmtId="166" fontId="14" fillId="0" borderId="12" xfId="1" applyNumberFormat="1" applyFont="1" applyBorder="1" applyAlignment="1">
      <alignment horizontal="right" vertical="center" wrapText="1" indent="2"/>
    </xf>
    <xf numFmtId="0" fontId="5" fillId="0" borderId="13" xfId="1" applyFont="1" applyBorder="1"/>
    <xf numFmtId="49" fontId="6" fillId="0" borderId="14" xfId="1" applyNumberFormat="1" applyFont="1" applyFill="1" applyBorder="1" applyAlignment="1">
      <alignment horizontal="left" vertical="center" indent="1"/>
    </xf>
    <xf numFmtId="0" fontId="14" fillId="0" borderId="0" xfId="1" applyFont="1"/>
    <xf numFmtId="0" fontId="14" fillId="0" borderId="0" xfId="1" applyFont="1" applyBorder="1"/>
    <xf numFmtId="166" fontId="15" fillId="0" borderId="0" xfId="1" applyNumberFormat="1" applyFont="1" applyBorder="1" applyAlignment="1">
      <alignment horizontal="right" vertical="center" indent="1"/>
    </xf>
    <xf numFmtId="0" fontId="15" fillId="0" borderId="0" xfId="1" applyFont="1" applyBorder="1"/>
    <xf numFmtId="4" fontId="15" fillId="0" borderId="0" xfId="1" applyNumberFormat="1" applyFont="1" applyBorder="1" applyAlignment="1">
      <alignment horizontal="right" vertical="center" indent="1"/>
    </xf>
    <xf numFmtId="49" fontId="15" fillId="0" borderId="0" xfId="1" applyNumberFormat="1" applyFont="1" applyBorder="1" applyAlignment="1">
      <alignment horizontal="center" vertical="center"/>
    </xf>
    <xf numFmtId="166" fontId="15" fillId="0" borderId="18" xfId="1" applyNumberFormat="1" applyFont="1" applyBorder="1" applyAlignment="1">
      <alignment horizontal="right" vertical="center" wrapText="1" indent="2"/>
    </xf>
    <xf numFmtId="49" fontId="15" fillId="0" borderId="0" xfId="1" applyNumberFormat="1" applyFont="1" applyBorder="1" applyAlignment="1">
      <alignment horizontal="left"/>
    </xf>
    <xf numFmtId="49" fontId="15" fillId="0" borderId="19" xfId="1" applyNumberFormat="1" applyFont="1" applyBorder="1" applyAlignment="1">
      <alignment horizontal="left" indent="1"/>
    </xf>
    <xf numFmtId="166" fontId="16" fillId="0" borderId="0" xfId="1" applyNumberFormat="1" applyFont="1" applyBorder="1" applyAlignment="1">
      <alignment horizontal="right" vertical="center" indent="1"/>
    </xf>
    <xf numFmtId="0" fontId="7" fillId="0" borderId="0" xfId="1" applyFont="1" applyBorder="1"/>
    <xf numFmtId="166" fontId="7" fillId="0" borderId="0" xfId="1" applyNumberFormat="1" applyFont="1" applyBorder="1" applyAlignment="1">
      <alignment horizontal="right" vertical="center" indent="1"/>
    </xf>
    <xf numFmtId="4" fontId="7" fillId="0" borderId="0" xfId="1" applyNumberFormat="1" applyFont="1" applyBorder="1" applyAlignment="1">
      <alignment horizontal="right" vertical="center" indent="1"/>
    </xf>
    <xf numFmtId="49" fontId="7" fillId="0" borderId="0" xfId="1" applyNumberFormat="1" applyFont="1" applyBorder="1" applyAlignment="1">
      <alignment horizontal="center" vertical="center"/>
    </xf>
    <xf numFmtId="166" fontId="6" fillId="0" borderId="12" xfId="1" applyNumberFormat="1" applyFont="1" applyBorder="1" applyAlignment="1">
      <alignment horizontal="right" vertical="center" wrapText="1" indent="2"/>
    </xf>
    <xf numFmtId="0" fontId="17" fillId="0" borderId="13" xfId="1" applyFont="1" applyBorder="1" applyAlignment="1">
      <alignment horizontal="justify" vertical="center" wrapText="1"/>
    </xf>
    <xf numFmtId="49" fontId="17" fillId="0" borderId="13" xfId="1" applyNumberFormat="1" applyFont="1" applyBorder="1" applyAlignment="1">
      <alignment horizontal="left"/>
    </xf>
    <xf numFmtId="49" fontId="6" fillId="0" borderId="14" xfId="1" applyNumberFormat="1" applyFont="1" applyBorder="1" applyAlignment="1">
      <alignment horizontal="center" vertical="center"/>
    </xf>
    <xf numFmtId="166" fontId="6" fillId="0" borderId="18" xfId="1" applyNumberFormat="1" applyFont="1" applyBorder="1" applyAlignment="1">
      <alignment horizontal="right" vertical="center" wrapText="1" indent="2"/>
    </xf>
    <xf numFmtId="0" fontId="17" fillId="0" borderId="0" xfId="1" applyFont="1" applyBorder="1" applyAlignment="1">
      <alignment horizontal="justify" vertical="center" wrapText="1"/>
    </xf>
    <xf numFmtId="49" fontId="17" fillId="0" borderId="0" xfId="1" applyNumberFormat="1" applyFont="1" applyBorder="1" applyAlignment="1">
      <alignment horizontal="left"/>
    </xf>
    <xf numFmtId="49" fontId="6" fillId="0" borderId="19" xfId="1" applyNumberFormat="1" applyFont="1" applyBorder="1" applyAlignment="1">
      <alignment horizontal="center" vertical="center"/>
    </xf>
    <xf numFmtId="166" fontId="6" fillId="0" borderId="6" xfId="1" applyNumberFormat="1" applyFont="1" applyBorder="1" applyAlignment="1">
      <alignment horizontal="right" vertical="center" wrapText="1" indent="2"/>
    </xf>
    <xf numFmtId="0" fontId="17" fillId="0" borderId="7" xfId="1" applyFont="1" applyBorder="1" applyAlignment="1">
      <alignment horizontal="justify" vertical="center" wrapText="1"/>
    </xf>
    <xf numFmtId="49" fontId="17" fillId="0" borderId="7" xfId="1" applyNumberFormat="1" applyFont="1" applyBorder="1" applyAlignment="1">
      <alignment horizontal="left"/>
    </xf>
    <xf numFmtId="49" fontId="6" fillId="0" borderId="8" xfId="1" applyNumberFormat="1" applyFont="1" applyBorder="1" applyAlignment="1">
      <alignment horizontal="center" vertical="center"/>
    </xf>
    <xf numFmtId="0" fontId="7" fillId="0" borderId="20" xfId="1" applyFont="1" applyBorder="1" applyAlignment="1">
      <alignment horizontal="justify" vertical="center" wrapText="1"/>
    </xf>
    <xf numFmtId="0" fontId="7" fillId="0" borderId="21" xfId="1" applyFont="1" applyBorder="1" applyAlignment="1">
      <alignment horizontal="justify" vertical="center" wrapText="1"/>
    </xf>
    <xf numFmtId="49" fontId="7" fillId="0" borderId="21" xfId="1" applyNumberFormat="1" applyFont="1" applyBorder="1" applyAlignment="1">
      <alignment horizontal="left"/>
    </xf>
    <xf numFmtId="49" fontId="7" fillId="0" borderId="22" xfId="1" applyNumberFormat="1" applyFont="1" applyBorder="1" applyAlignment="1">
      <alignment horizontal="left" vertical="center" indent="1"/>
    </xf>
    <xf numFmtId="0" fontId="0" fillId="0" borderId="1" xfId="0"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0" fillId="0" borderId="1" xfId="0" applyBorder="1" applyAlignment="1" applyProtection="1">
      <alignment horizontal="left" vertical="top" wrapText="1"/>
    </xf>
    <xf numFmtId="0" fontId="4" fillId="0" borderId="1" xfId="0" applyFont="1" applyBorder="1" applyAlignment="1" applyProtection="1">
      <alignment horizontal="left" vertical="top" wrapText="1"/>
    </xf>
    <xf numFmtId="49" fontId="4" fillId="0" borderId="2" xfId="0" applyNumberFormat="1" applyFont="1" applyBorder="1" applyAlignment="1">
      <alignment horizontal="left" vertical="top"/>
    </xf>
    <xf numFmtId="49" fontId="4" fillId="0" borderId="1" xfId="0" applyNumberFormat="1" applyFont="1" applyBorder="1" applyAlignment="1">
      <alignment horizontal="left" vertical="top"/>
    </xf>
    <xf numFmtId="49" fontId="0" fillId="0" borderId="1" xfId="0" applyNumberFormat="1" applyBorder="1" applyAlignment="1">
      <alignment horizontal="left" vertical="top"/>
    </xf>
    <xf numFmtId="49" fontId="0" fillId="0" borderId="1" xfId="0" applyNumberFormat="1" applyBorder="1" applyAlignment="1" applyProtection="1">
      <alignment horizontal="left" vertical="top"/>
    </xf>
    <xf numFmtId="49" fontId="4" fillId="0" borderId="1" xfId="0" applyNumberFormat="1" applyFont="1" applyBorder="1" applyAlignment="1" applyProtection="1">
      <alignment horizontal="left" vertical="top"/>
    </xf>
    <xf numFmtId="49" fontId="0" fillId="0" borderId="0" xfId="0" applyNumberFormat="1" applyAlignment="1">
      <alignment horizontal="left" vertical="top"/>
    </xf>
    <xf numFmtId="0" fontId="15" fillId="0" borderId="0" xfId="0" applyFont="1" applyAlignment="1">
      <alignment vertical="center"/>
    </xf>
    <xf numFmtId="0" fontId="5" fillId="0" borderId="1" xfId="0" applyFont="1" applyBorder="1" applyAlignment="1">
      <alignment horizontal="left" vertical="top" wrapText="1"/>
    </xf>
    <xf numFmtId="0" fontId="5" fillId="0" borderId="0" xfId="0" applyFont="1" applyAlignment="1">
      <alignment horizontal="center"/>
    </xf>
    <xf numFmtId="0" fontId="0" fillId="0" borderId="0" xfId="0" applyAlignment="1">
      <alignment horizontal="center"/>
    </xf>
    <xf numFmtId="49" fontId="5" fillId="0" borderId="1" xfId="0" applyNumberFormat="1" applyFont="1" applyBorder="1" applyAlignment="1">
      <alignment horizontal="left" vertical="top"/>
    </xf>
    <xf numFmtId="49" fontId="5" fillId="0" borderId="1" xfId="0" applyNumberFormat="1" applyFont="1" applyBorder="1" applyAlignment="1">
      <alignment horizontal="center" vertical="center"/>
    </xf>
    <xf numFmtId="0" fontId="5" fillId="0" borderId="0" xfId="0" applyFont="1"/>
    <xf numFmtId="49" fontId="5" fillId="0" borderId="1" xfId="0" applyNumberFormat="1" applyFont="1" applyBorder="1" applyAlignment="1" applyProtection="1">
      <alignment horizontal="left" vertical="top"/>
    </xf>
    <xf numFmtId="49" fontId="5" fillId="0" borderId="1" xfId="0" applyNumberFormat="1" applyFont="1" applyBorder="1" applyAlignment="1" applyProtection="1">
      <alignment horizontal="center" vertical="center"/>
    </xf>
    <xf numFmtId="0" fontId="5" fillId="0" borderId="1" xfId="0" applyFont="1" applyBorder="1" applyAlignment="1" applyProtection="1">
      <alignment horizontal="left" vertical="top" wrapText="1"/>
    </xf>
    <xf numFmtId="49" fontId="0" fillId="0" borderId="1" xfId="0" applyNumberFormat="1" applyFill="1" applyBorder="1" applyAlignment="1">
      <alignment horizontal="left" vertical="top"/>
    </xf>
    <xf numFmtId="49" fontId="5" fillId="0" borderId="1" xfId="0" applyNumberFormat="1" applyFont="1" applyFill="1" applyBorder="1" applyAlignment="1">
      <alignment horizontal="center" vertical="center"/>
    </xf>
    <xf numFmtId="0" fontId="0" fillId="0" borderId="1" xfId="0" applyFill="1" applyBorder="1" applyAlignment="1">
      <alignment horizontal="left" vertical="top" wrapText="1"/>
    </xf>
    <xf numFmtId="4" fontId="0" fillId="0" borderId="1" xfId="0" applyNumberFormat="1" applyFill="1" applyBorder="1" applyAlignment="1">
      <alignment horizontal="right" indent="1"/>
    </xf>
    <xf numFmtId="165" fontId="0" fillId="0" borderId="1" xfId="0" applyNumberFormat="1" applyFill="1" applyBorder="1" applyAlignment="1">
      <alignment horizontal="right" indent="1"/>
    </xf>
    <xf numFmtId="0" fontId="0" fillId="0" borderId="1" xfId="0" applyFill="1" applyBorder="1"/>
    <xf numFmtId="49" fontId="4" fillId="0" borderId="1" xfId="0" applyNumberFormat="1" applyFont="1" applyFill="1" applyBorder="1" applyAlignment="1">
      <alignment horizontal="left" vertical="top"/>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left" vertical="top" wrapText="1"/>
    </xf>
    <xf numFmtId="4" fontId="4" fillId="0" borderId="1" xfId="0" applyNumberFormat="1" applyFont="1" applyFill="1" applyBorder="1" applyAlignment="1">
      <alignment horizontal="right" indent="1"/>
    </xf>
    <xf numFmtId="165" fontId="4" fillId="0" borderId="1" xfId="0" applyNumberFormat="1" applyFont="1" applyFill="1" applyBorder="1" applyAlignment="1">
      <alignment horizontal="right" indent="1"/>
    </xf>
    <xf numFmtId="0" fontId="4" fillId="0" borderId="1" xfId="0" applyFont="1" applyFill="1" applyBorder="1"/>
    <xf numFmtId="0" fontId="4" fillId="0" borderId="0" xfId="0" applyFont="1" applyFill="1"/>
    <xf numFmtId="49" fontId="0" fillId="0" borderId="1" xfId="0" applyNumberFormat="1" applyFill="1" applyBorder="1" applyAlignment="1">
      <alignment horizontal="center" vertical="center"/>
    </xf>
    <xf numFmtId="0" fontId="0" fillId="0" borderId="0" xfId="0" applyFill="1"/>
    <xf numFmtId="49" fontId="5" fillId="0" borderId="1" xfId="0" applyNumberFormat="1" applyFont="1" applyFill="1" applyBorder="1" applyAlignment="1">
      <alignment horizontal="left" vertical="top"/>
    </xf>
    <xf numFmtId="49" fontId="6" fillId="0" borderId="23" xfId="1" applyNumberFormat="1" applyFont="1" applyBorder="1" applyAlignment="1">
      <alignment horizontal="center" vertical="center"/>
    </xf>
    <xf numFmtId="49" fontId="17" fillId="0" borderId="24" xfId="1" applyNumberFormat="1" applyFont="1" applyBorder="1" applyAlignment="1">
      <alignment horizontal="left"/>
    </xf>
    <xf numFmtId="0" fontId="17" fillId="0" borderId="24" xfId="1" applyFont="1" applyBorder="1" applyAlignment="1">
      <alignment horizontal="justify" vertical="center" wrapText="1"/>
    </xf>
    <xf numFmtId="166" fontId="6" fillId="0" borderId="25" xfId="1" applyNumberFormat="1" applyFont="1" applyBorder="1" applyAlignment="1">
      <alignment horizontal="right" vertical="center" wrapText="1" indent="2"/>
    </xf>
    <xf numFmtId="49"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2" fontId="8" fillId="2" borderId="1" xfId="0" applyNumberFormat="1" applyFont="1" applyFill="1" applyBorder="1" applyAlignment="1">
      <alignment horizontal="center" vertical="center"/>
    </xf>
    <xf numFmtId="4" fontId="8" fillId="2" borderId="1" xfId="0" applyNumberFormat="1" applyFont="1" applyFill="1" applyBorder="1" applyAlignment="1">
      <alignment horizontal="center" vertical="center" wrapText="1"/>
    </xf>
    <xf numFmtId="0" fontId="18" fillId="0" borderId="0" xfId="0" applyFont="1"/>
    <xf numFmtId="49" fontId="8" fillId="0" borderId="0" xfId="0" applyNumberFormat="1" applyFont="1" applyAlignment="1">
      <alignment horizontal="left"/>
    </xf>
    <xf numFmtId="49" fontId="19" fillId="0" borderId="0" xfId="0" applyNumberFormat="1" applyFont="1"/>
    <xf numFmtId="0" fontId="19" fillId="0" borderId="0" xfId="0" applyFont="1" applyAlignment="1">
      <alignment horizontal="center"/>
    </xf>
    <xf numFmtId="2" fontId="19" fillId="0" borderId="0" xfId="0" applyNumberFormat="1" applyFont="1" applyAlignment="1">
      <alignment horizontal="center" vertical="top"/>
    </xf>
    <xf numFmtId="2" fontId="19" fillId="0" borderId="0" xfId="0" applyNumberFormat="1" applyFont="1" applyAlignment="1">
      <alignment vertical="top"/>
    </xf>
    <xf numFmtId="4" fontId="19" fillId="0" borderId="0" xfId="0" applyNumberFormat="1" applyFont="1" applyAlignment="1">
      <alignment horizontal="center"/>
    </xf>
    <xf numFmtId="4" fontId="19" fillId="0" borderId="0" xfId="0" applyNumberFormat="1" applyFont="1" applyAlignment="1"/>
    <xf numFmtId="49" fontId="9" fillId="0" borderId="0" xfId="0" applyNumberFormat="1" applyFont="1" applyBorder="1" applyAlignment="1">
      <alignment horizontal="left" vertical="top"/>
    </xf>
    <xf numFmtId="0" fontId="19" fillId="0" borderId="0" xfId="0" applyFont="1" applyBorder="1" applyAlignment="1">
      <alignment horizontal="center"/>
    </xf>
    <xf numFmtId="2" fontId="19" fillId="0" borderId="0" xfId="0" applyNumberFormat="1" applyFont="1" applyBorder="1" applyAlignment="1">
      <alignment horizontal="center"/>
    </xf>
    <xf numFmtId="2" fontId="19" fillId="0" borderId="0" xfId="0" applyNumberFormat="1" applyFont="1" applyBorder="1"/>
    <xf numFmtId="167" fontId="19" fillId="0" borderId="0" xfId="0" applyNumberFormat="1" applyFont="1" applyBorder="1" applyAlignment="1">
      <alignment horizontal="center"/>
    </xf>
    <xf numFmtId="167" fontId="19" fillId="0" borderId="0" xfId="0" applyNumberFormat="1" applyFont="1" applyBorder="1" applyAlignment="1"/>
    <xf numFmtId="167" fontId="8" fillId="0" borderId="0" xfId="0" applyNumberFormat="1" applyFont="1" applyAlignment="1">
      <alignment horizontal="center"/>
    </xf>
    <xf numFmtId="49" fontId="9" fillId="0" borderId="0" xfId="0" applyNumberFormat="1" applyFont="1" applyAlignment="1">
      <alignment horizontal="left" vertical="top"/>
    </xf>
    <xf numFmtId="0" fontId="20" fillId="0" borderId="0" xfId="0" applyFont="1" applyAlignment="1">
      <alignment horizontal="center"/>
    </xf>
    <xf numFmtId="2" fontId="20" fillId="0" borderId="0" xfId="0" applyNumberFormat="1" applyFont="1" applyAlignment="1">
      <alignment horizontal="center" vertical="top"/>
    </xf>
    <xf numFmtId="2" fontId="20" fillId="0" borderId="0" xfId="0" applyNumberFormat="1" applyFont="1" applyAlignment="1">
      <alignment vertical="top"/>
    </xf>
    <xf numFmtId="167" fontId="20" fillId="0" borderId="0" xfId="0" applyNumberFormat="1" applyFont="1" applyAlignment="1">
      <alignment horizontal="center"/>
    </xf>
    <xf numFmtId="167" fontId="20" fillId="0" borderId="0" xfId="0" applyNumberFormat="1" applyFont="1" applyAlignment="1"/>
    <xf numFmtId="0" fontId="11" fillId="0" borderId="0" xfId="0" applyFont="1"/>
    <xf numFmtId="49" fontId="8" fillId="0" borderId="0" xfId="0" applyNumberFormat="1" applyFont="1" applyAlignment="1">
      <alignment horizontal="left" vertical="top"/>
    </xf>
    <xf numFmtId="49" fontId="19" fillId="0" borderId="0" xfId="0" applyNumberFormat="1" applyFont="1" applyAlignment="1">
      <alignment horizontal="left" vertical="top"/>
    </xf>
    <xf numFmtId="0" fontId="8" fillId="0" borderId="0" xfId="0" applyFont="1" applyAlignment="1">
      <alignment horizontal="center"/>
    </xf>
    <xf numFmtId="2" fontId="8" fillId="0" borderId="0" xfId="0" applyNumberFormat="1" applyFont="1" applyAlignment="1">
      <alignment horizontal="center" vertical="top"/>
    </xf>
    <xf numFmtId="2" fontId="8" fillId="0" borderId="0" xfId="0" applyNumberFormat="1" applyFont="1" applyAlignment="1">
      <alignment vertical="top"/>
    </xf>
    <xf numFmtId="167" fontId="8" fillId="0" borderId="0" xfId="0" applyNumberFormat="1" applyFont="1" applyAlignment="1"/>
    <xf numFmtId="49" fontId="21" fillId="0" borderId="0" xfId="0" applyNumberFormat="1" applyFont="1" applyBorder="1" applyAlignment="1">
      <alignment horizontal="left" vertical="top"/>
    </xf>
    <xf numFmtId="0" fontId="8" fillId="0" borderId="0" xfId="0" applyFont="1" applyBorder="1" applyAlignment="1">
      <alignment horizontal="center"/>
    </xf>
    <xf numFmtId="2" fontId="8" fillId="0" borderId="0" xfId="0" applyNumberFormat="1" applyFont="1" applyBorder="1" applyAlignment="1">
      <alignment horizontal="center"/>
    </xf>
    <xf numFmtId="2" fontId="8" fillId="0" borderId="0" xfId="0" applyNumberFormat="1" applyFont="1" applyBorder="1"/>
    <xf numFmtId="167" fontId="8" fillId="0" borderId="0" xfId="0" applyNumberFormat="1" applyFont="1" applyBorder="1" applyAlignment="1">
      <alignment horizontal="center"/>
    </xf>
    <xf numFmtId="167" fontId="8" fillId="0" borderId="0" xfId="0" applyNumberFormat="1" applyFont="1" applyBorder="1" applyAlignment="1"/>
    <xf numFmtId="2" fontId="8" fillId="0" borderId="0" xfId="0" applyNumberFormat="1" applyFont="1" applyAlignment="1">
      <alignment horizontal="center"/>
    </xf>
    <xf numFmtId="2" fontId="8" fillId="0" borderId="0" xfId="0" applyNumberFormat="1" applyFont="1"/>
    <xf numFmtId="49" fontId="8" fillId="0" borderId="0" xfId="0" applyNumberFormat="1" applyFont="1" applyAlignment="1">
      <alignment horizontal="center" vertical="top"/>
    </xf>
    <xf numFmtId="49" fontId="8" fillId="0" borderId="0" xfId="0" applyNumberFormat="1" applyFont="1" applyAlignment="1">
      <alignment horizontal="left" vertical="top" wrapText="1"/>
    </xf>
    <xf numFmtId="0" fontId="8" fillId="0" borderId="7" xfId="0" applyFont="1" applyBorder="1" applyAlignment="1">
      <alignment horizontal="center"/>
    </xf>
    <xf numFmtId="2" fontId="8" fillId="0" borderId="7" xfId="0" applyNumberFormat="1" applyFont="1" applyBorder="1" applyAlignment="1">
      <alignment horizontal="center"/>
    </xf>
    <xf numFmtId="167" fontId="8" fillId="0" borderId="7" xfId="0" applyNumberFormat="1" applyFont="1" applyBorder="1" applyAlignment="1">
      <alignment horizontal="center"/>
    </xf>
    <xf numFmtId="4" fontId="18" fillId="0" borderId="0" xfId="0" applyNumberFormat="1" applyFont="1"/>
    <xf numFmtId="4" fontId="0" fillId="0" borderId="0" xfId="0" applyNumberFormat="1"/>
    <xf numFmtId="0" fontId="8" fillId="0" borderId="0" xfId="0" applyFont="1"/>
    <xf numFmtId="167" fontId="8" fillId="0" borderId="0" xfId="0" applyNumberFormat="1" applyFont="1" applyFill="1" applyAlignment="1"/>
    <xf numFmtId="2" fontId="8" fillId="0" borderId="13" xfId="0" applyNumberFormat="1" applyFont="1" applyBorder="1" applyAlignment="1">
      <alignment horizontal="center"/>
    </xf>
    <xf numFmtId="167" fontId="8" fillId="0" borderId="0" xfId="0" applyNumberFormat="1" applyFont="1" applyFill="1" applyBorder="1" applyAlignment="1"/>
    <xf numFmtId="49" fontId="8" fillId="0" borderId="16" xfId="0" applyNumberFormat="1" applyFont="1" applyBorder="1" applyAlignment="1">
      <alignment horizontal="center" vertical="top"/>
    </xf>
    <xf numFmtId="0" fontId="20" fillId="0" borderId="16" xfId="0" applyFont="1" applyBorder="1"/>
    <xf numFmtId="0" fontId="8" fillId="0" borderId="16" xfId="0" applyFont="1" applyBorder="1"/>
    <xf numFmtId="0" fontId="8" fillId="0" borderId="16" xfId="0" applyFont="1" applyBorder="1" applyAlignment="1">
      <alignment horizontal="center"/>
    </xf>
    <xf numFmtId="167" fontId="8" fillId="0" borderId="16" xfId="0" applyNumberFormat="1" applyFont="1" applyFill="1" applyBorder="1" applyAlignment="1">
      <alignment horizontal="center"/>
    </xf>
    <xf numFmtId="167" fontId="8" fillId="0" borderId="16" xfId="0" applyNumberFormat="1" applyFont="1" applyFill="1" applyBorder="1" applyAlignment="1"/>
    <xf numFmtId="4" fontId="8" fillId="0" borderId="16" xfId="0" applyNumberFormat="1" applyFont="1" applyBorder="1" applyAlignment="1">
      <alignment horizontal="center"/>
    </xf>
    <xf numFmtId="49" fontId="8" fillId="0" borderId="0" xfId="0" applyNumberFormat="1" applyFont="1" applyBorder="1" applyAlignment="1">
      <alignment horizontal="center" vertical="top"/>
    </xf>
    <xf numFmtId="0" fontId="20" fillId="0" borderId="0" xfId="0" applyFont="1" applyBorder="1"/>
    <xf numFmtId="0" fontId="8" fillId="0" borderId="0" xfId="0" applyFont="1" applyBorder="1"/>
    <xf numFmtId="167" fontId="8" fillId="0" borderId="0" xfId="0" applyNumberFormat="1" applyFont="1" applyFill="1" applyBorder="1" applyAlignment="1">
      <alignment horizontal="center"/>
    </xf>
    <xf numFmtId="4" fontId="8" fillId="0" borderId="0" xfId="0" applyNumberFormat="1" applyFont="1" applyBorder="1" applyAlignment="1">
      <alignment horizontal="center"/>
    </xf>
    <xf numFmtId="49" fontId="21" fillId="0" borderId="0" xfId="0" applyNumberFormat="1" applyFont="1" applyAlignment="1">
      <alignment horizontal="center" vertical="top"/>
    </xf>
    <xf numFmtId="49" fontId="21" fillId="0" borderId="0" xfId="0" applyNumberFormat="1" applyFont="1" applyAlignment="1">
      <alignment horizontal="left" vertical="top" wrapText="1"/>
    </xf>
    <xf numFmtId="167" fontId="8" fillId="0" borderId="0" xfId="0" applyNumberFormat="1" applyFont="1" applyFill="1" applyAlignment="1">
      <alignment horizontal="center"/>
    </xf>
    <xf numFmtId="4" fontId="8" fillId="0" borderId="0" xfId="0" applyNumberFormat="1" applyFont="1" applyAlignment="1">
      <alignment horizontal="center"/>
    </xf>
    <xf numFmtId="2" fontId="18" fillId="0" borderId="0" xfId="0" applyNumberFormat="1" applyFont="1"/>
    <xf numFmtId="2" fontId="0" fillId="0" borderId="0" xfId="0" applyNumberFormat="1"/>
    <xf numFmtId="167" fontId="8" fillId="0" borderId="7" xfId="0" applyNumberFormat="1" applyFont="1" applyFill="1" applyBorder="1" applyAlignment="1">
      <alignment horizontal="center"/>
    </xf>
    <xf numFmtId="4" fontId="8" fillId="0" borderId="7" xfId="0" applyNumberFormat="1" applyFont="1" applyBorder="1" applyAlignment="1">
      <alignment horizontal="center"/>
    </xf>
    <xf numFmtId="49" fontId="22" fillId="0" borderId="0" xfId="0" applyNumberFormat="1" applyFont="1" applyAlignment="1">
      <alignment horizontal="center" vertical="top"/>
    </xf>
    <xf numFmtId="0" fontId="22" fillId="0" borderId="0" xfId="0" applyNumberFormat="1" applyFont="1" applyAlignment="1">
      <alignment horizontal="left" vertical="top" wrapText="1"/>
    </xf>
    <xf numFmtId="49" fontId="22" fillId="0" borderId="0" xfId="0" applyNumberFormat="1" applyFont="1" applyAlignment="1">
      <alignment horizontal="left" vertical="top" wrapText="1"/>
    </xf>
    <xf numFmtId="0" fontId="22" fillId="0" borderId="0" xfId="0" applyFont="1" applyAlignment="1">
      <alignment horizontal="center"/>
    </xf>
    <xf numFmtId="2" fontId="22" fillId="0" borderId="0" xfId="0" applyNumberFormat="1" applyFont="1" applyBorder="1" applyAlignment="1">
      <alignment horizontal="center"/>
    </xf>
    <xf numFmtId="2" fontId="22" fillId="0" borderId="0" xfId="0" applyNumberFormat="1" applyFont="1" applyBorder="1"/>
    <xf numFmtId="4" fontId="8" fillId="0" borderId="0" xfId="0" applyNumberFormat="1" applyFont="1" applyFill="1" applyAlignment="1">
      <alignment horizontal="center"/>
    </xf>
    <xf numFmtId="49" fontId="11" fillId="0" borderId="0" xfId="0" applyNumberFormat="1" applyFont="1" applyBorder="1" applyAlignment="1">
      <alignment horizontal="left" vertical="top"/>
    </xf>
    <xf numFmtId="0" fontId="22" fillId="0" borderId="7" xfId="0" applyFont="1" applyBorder="1" applyAlignment="1">
      <alignment horizontal="center"/>
    </xf>
    <xf numFmtId="2" fontId="22" fillId="0" borderId="7" xfId="0" applyNumberFormat="1" applyFont="1" applyBorder="1" applyAlignment="1">
      <alignment horizontal="center"/>
    </xf>
    <xf numFmtId="4" fontId="8" fillId="0" borderId="7" xfId="0" applyNumberFormat="1" applyFont="1" applyFill="1" applyBorder="1" applyAlignment="1">
      <alignment horizontal="center"/>
    </xf>
    <xf numFmtId="0" fontId="22" fillId="0" borderId="0" xfId="0" applyFont="1" applyBorder="1" applyAlignment="1">
      <alignment horizontal="center"/>
    </xf>
    <xf numFmtId="4" fontId="8" fillId="0" borderId="0" xfId="0" applyNumberFormat="1" applyFont="1" applyFill="1" applyBorder="1" applyAlignment="1">
      <alignment horizontal="center"/>
    </xf>
    <xf numFmtId="2" fontId="22" fillId="0" borderId="0" xfId="0" applyNumberFormat="1" applyFont="1" applyAlignment="1">
      <alignment horizontal="center"/>
    </xf>
    <xf numFmtId="2" fontId="22" fillId="0" borderId="0" xfId="0" applyNumberFormat="1" applyFont="1"/>
    <xf numFmtId="4" fontId="20" fillId="0" borderId="0" xfId="0" applyNumberFormat="1" applyFont="1" applyAlignment="1">
      <alignment horizontal="center"/>
    </xf>
    <xf numFmtId="2" fontId="23" fillId="0" borderId="0" xfId="0" applyNumberFormat="1" applyFont="1"/>
    <xf numFmtId="2" fontId="22" fillId="0" borderId="7" xfId="0" applyNumberFormat="1" applyFont="1" applyFill="1" applyBorder="1" applyAlignment="1">
      <alignment horizontal="center"/>
    </xf>
    <xf numFmtId="2" fontId="22" fillId="0" borderId="0" xfId="0" applyNumberFormat="1" applyFont="1" applyFill="1" applyBorder="1"/>
    <xf numFmtId="2" fontId="8" fillId="0" borderId="0" xfId="0" applyNumberFormat="1" applyFont="1" applyFill="1" applyBorder="1" applyAlignment="1">
      <alignment horizontal="center"/>
    </xf>
    <xf numFmtId="2" fontId="8" fillId="0" borderId="0" xfId="0" applyNumberFormat="1" applyFont="1" applyFill="1" applyBorder="1"/>
    <xf numFmtId="0" fontId="8" fillId="0" borderId="0" xfId="0" applyNumberFormat="1" applyFont="1" applyAlignment="1">
      <alignment vertical="top" wrapText="1"/>
    </xf>
    <xf numFmtId="49" fontId="8" fillId="0" borderId="0" xfId="0" applyNumberFormat="1" applyFont="1"/>
    <xf numFmtId="49" fontId="8" fillId="0" borderId="0" xfId="0" applyNumberFormat="1" applyFont="1" applyAlignment="1">
      <alignment vertical="top" wrapText="1"/>
    </xf>
    <xf numFmtId="49" fontId="8" fillId="0" borderId="0" xfId="0" applyNumberFormat="1" applyFont="1" applyAlignment="1">
      <alignment horizontal="center" vertical="top" wrapText="1"/>
    </xf>
    <xf numFmtId="49" fontId="8" fillId="0" borderId="0" xfId="0" applyNumberFormat="1" applyFont="1" applyAlignment="1">
      <alignment horizontal="left" vertical="center" wrapText="1"/>
    </xf>
    <xf numFmtId="0" fontId="8" fillId="0" borderId="7" xfId="0" applyFont="1" applyBorder="1" applyAlignment="1">
      <alignment horizontal="center" wrapText="1"/>
    </xf>
    <xf numFmtId="0" fontId="8" fillId="0" borderId="0" xfId="0" applyFont="1" applyBorder="1" applyAlignment="1">
      <alignment horizontal="center" wrapText="1"/>
    </xf>
    <xf numFmtId="2" fontId="8" fillId="0" borderId="7" xfId="0" applyNumberFormat="1" applyFont="1" applyBorder="1" applyAlignment="1">
      <alignment horizontal="center" wrapText="1"/>
    </xf>
    <xf numFmtId="49" fontId="20" fillId="0" borderId="16" xfId="0" applyNumberFormat="1" applyFont="1" applyBorder="1" applyAlignment="1">
      <alignment vertical="top"/>
    </xf>
    <xf numFmtId="0" fontId="8" fillId="0" borderId="16" xfId="0" applyFont="1" applyBorder="1" applyAlignment="1"/>
    <xf numFmtId="2" fontId="8" fillId="0" borderId="16" xfId="0" applyNumberFormat="1" applyFont="1" applyBorder="1" applyAlignment="1">
      <alignment horizontal="center"/>
    </xf>
    <xf numFmtId="2" fontId="8" fillId="0" borderId="16" xfId="0" applyNumberFormat="1" applyFont="1" applyBorder="1"/>
    <xf numFmtId="167" fontId="8" fillId="0" borderId="16" xfId="0" applyNumberFormat="1" applyFont="1" applyBorder="1" applyAlignment="1"/>
    <xf numFmtId="49" fontId="20" fillId="0" borderId="0" xfId="0" applyNumberFormat="1" applyFont="1" applyBorder="1" applyAlignment="1">
      <alignment vertical="top"/>
    </xf>
    <xf numFmtId="0" fontId="8" fillId="0" borderId="0" xfId="0" applyFont="1" applyBorder="1" applyAlignment="1"/>
    <xf numFmtId="49" fontId="21" fillId="0" borderId="0" xfId="0" applyNumberFormat="1" applyFont="1" applyBorder="1" applyAlignment="1">
      <alignment horizontal="left" vertical="top" wrapText="1"/>
    </xf>
    <xf numFmtId="2" fontId="8" fillId="0" borderId="7" xfId="0" applyNumberFormat="1" applyFont="1" applyFill="1" applyBorder="1" applyAlignment="1">
      <alignment horizontal="center"/>
    </xf>
    <xf numFmtId="0" fontId="8" fillId="0" borderId="0" xfId="0" applyNumberFormat="1" applyFont="1" applyAlignment="1">
      <alignment horizontal="left" vertical="justify" wrapText="1"/>
    </xf>
    <xf numFmtId="0" fontId="22" fillId="0" borderId="0" xfId="0" applyFont="1"/>
    <xf numFmtId="49" fontId="8" fillId="0" borderId="16" xfId="0" applyNumberFormat="1" applyFont="1" applyFill="1" applyBorder="1" applyAlignment="1">
      <alignment horizontal="center" vertical="top"/>
    </xf>
    <xf numFmtId="49" fontId="20" fillId="0" borderId="16" xfId="0" applyNumberFormat="1" applyFont="1" applyBorder="1" applyAlignment="1">
      <alignment horizontal="justify" vertical="justify" wrapText="1"/>
    </xf>
    <xf numFmtId="49" fontId="8" fillId="0" borderId="0" xfId="0" applyNumberFormat="1" applyFont="1" applyFill="1" applyBorder="1" applyAlignment="1">
      <alignment horizontal="center" vertical="top"/>
    </xf>
    <xf numFmtId="49" fontId="20" fillId="0" borderId="0" xfId="0" applyNumberFormat="1" applyFont="1" applyBorder="1" applyAlignment="1">
      <alignment horizontal="justify" vertical="justify" wrapText="1"/>
    </xf>
    <xf numFmtId="49" fontId="20" fillId="0" borderId="0" xfId="0" applyNumberFormat="1" applyFont="1" applyAlignment="1">
      <alignment horizontal="center" vertical="top"/>
    </xf>
    <xf numFmtId="49" fontId="9" fillId="0" borderId="0" xfId="0" applyNumberFormat="1" applyFont="1" applyBorder="1" applyAlignment="1">
      <alignment horizontal="left" vertical="top" wrapText="1"/>
    </xf>
    <xf numFmtId="49" fontId="8" fillId="0" borderId="0" xfId="0" applyNumberFormat="1" applyFont="1" applyAlignment="1">
      <alignment vertical="top"/>
    </xf>
    <xf numFmtId="0" fontId="8" fillId="0" borderId="0" xfId="0" applyFont="1" applyAlignment="1"/>
    <xf numFmtId="0" fontId="8" fillId="0" borderId="7" xfId="0" applyFont="1" applyBorder="1"/>
    <xf numFmtId="49" fontId="20" fillId="0" borderId="16" xfId="0" applyNumberFormat="1" applyFont="1" applyBorder="1" applyAlignment="1">
      <alignment horizontal="left" vertical="top" wrapText="1"/>
    </xf>
    <xf numFmtId="0" fontId="8" fillId="0" borderId="16" xfId="0" applyFont="1" applyBorder="1" applyAlignment="1">
      <alignment wrapText="1"/>
    </xf>
    <xf numFmtId="167" fontId="8" fillId="0" borderId="16" xfId="0" applyNumberFormat="1" applyFont="1" applyBorder="1" applyAlignment="1">
      <alignment horizontal="center"/>
    </xf>
    <xf numFmtId="49" fontId="20" fillId="0" borderId="0" xfId="0" applyNumberFormat="1" applyFont="1" applyBorder="1" applyAlignment="1">
      <alignment horizontal="left" vertical="top" wrapText="1"/>
    </xf>
    <xf numFmtId="0" fontId="8" fillId="0" borderId="0" xfId="0" applyFont="1" applyBorder="1" applyAlignment="1">
      <alignment wrapText="1"/>
    </xf>
    <xf numFmtId="0" fontId="8" fillId="0" borderId="0" xfId="0" applyFont="1" applyAlignment="1">
      <alignment wrapText="1"/>
    </xf>
    <xf numFmtId="49" fontId="8" fillId="0" borderId="0" xfId="0" applyNumberFormat="1" applyFont="1" applyBorder="1" applyAlignment="1">
      <alignment horizontal="left" vertical="top" wrapText="1"/>
    </xf>
    <xf numFmtId="0" fontId="0" fillId="0" borderId="0" xfId="0" applyBorder="1"/>
    <xf numFmtId="167" fontId="22" fillId="0" borderId="0" xfId="0" applyNumberFormat="1" applyFont="1" applyAlignment="1">
      <alignment horizontal="center"/>
    </xf>
    <xf numFmtId="167" fontId="22" fillId="0" borderId="0" xfId="0" applyNumberFormat="1" applyFont="1" applyAlignment="1"/>
    <xf numFmtId="4" fontId="22" fillId="0" borderId="0" xfId="0" applyNumberFormat="1" applyFont="1" applyAlignment="1">
      <alignment horizontal="center"/>
    </xf>
    <xf numFmtId="167" fontId="22" fillId="0" borderId="0" xfId="0" applyNumberFormat="1" applyFont="1" applyAlignment="1">
      <alignment horizontal="right"/>
    </xf>
    <xf numFmtId="4" fontId="22" fillId="0" borderId="0" xfId="0" applyNumberFormat="1" applyFont="1" applyAlignment="1"/>
    <xf numFmtId="167" fontId="22" fillId="0" borderId="0" xfId="0" applyNumberFormat="1" applyFont="1" applyBorder="1" applyAlignment="1">
      <alignment horizontal="right"/>
    </xf>
    <xf numFmtId="0" fontId="22" fillId="0" borderId="0" xfId="0" applyFont="1" applyAlignment="1"/>
    <xf numFmtId="0" fontId="5" fillId="0" borderId="0" xfId="0" applyFont="1" applyAlignment="1"/>
    <xf numFmtId="0" fontId="25" fillId="0" borderId="0" xfId="4" applyNumberFormat="1" applyFont="1" applyFill="1" applyBorder="1" applyAlignment="1" applyProtection="1">
      <alignment horizontal="center" vertical="center"/>
    </xf>
    <xf numFmtId="3" fontId="25" fillId="0" borderId="0" xfId="4" applyNumberFormat="1" applyFont="1" applyFill="1" applyBorder="1" applyAlignment="1" applyProtection="1">
      <alignment horizontal="center" vertical="center"/>
    </xf>
    <xf numFmtId="0" fontId="25" fillId="0" borderId="7" xfId="4" applyNumberFormat="1" applyFont="1" applyFill="1" applyBorder="1" applyAlignment="1" applyProtection="1">
      <alignment horizontal="center" vertical="center"/>
    </xf>
    <xf numFmtId="168" fontId="26" fillId="0" borderId="10" xfId="4" applyNumberFormat="1" applyFont="1" applyFill="1" applyBorder="1" applyAlignment="1" applyProtection="1">
      <alignment horizontal="right" vertical="top" shrinkToFit="1"/>
    </xf>
    <xf numFmtId="0" fontId="26" fillId="0" borderId="10" xfId="4" applyNumberFormat="1" applyFont="1" applyFill="1" applyBorder="1" applyAlignment="1" applyProtection="1">
      <alignment vertical="top" wrapText="1"/>
    </xf>
    <xf numFmtId="0" fontId="26" fillId="0" borderId="10" xfId="4" applyNumberFormat="1" applyFont="1" applyFill="1" applyBorder="1" applyAlignment="1" applyProtection="1">
      <alignment horizontal="right"/>
    </xf>
    <xf numFmtId="170" fontId="26" fillId="0" borderId="0" xfId="4" applyNumberFormat="1" applyFont="1" applyFill="1" applyBorder="1" applyAlignment="1" applyProtection="1">
      <alignment shrinkToFit="1"/>
    </xf>
    <xf numFmtId="168" fontId="25" fillId="0" borderId="0" xfId="5" applyNumberFormat="1" applyFont="1" applyFill="1" applyAlignment="1" applyProtection="1">
      <alignment horizontal="right" vertical="top" shrinkToFit="1"/>
    </xf>
    <xf numFmtId="0" fontId="25" fillId="0" borderId="0" xfId="5" applyNumberFormat="1" applyFont="1" applyFill="1" applyAlignment="1" applyProtection="1">
      <alignment vertical="top" wrapText="1"/>
    </xf>
    <xf numFmtId="0" fontId="25" fillId="0" borderId="0" xfId="5" applyNumberFormat="1" applyFont="1" applyFill="1" applyAlignment="1" applyProtection="1">
      <alignment horizontal="right"/>
    </xf>
    <xf numFmtId="169" fontId="25" fillId="0" borderId="0" xfId="5" applyNumberFormat="1" applyFont="1" applyFill="1" applyAlignment="1" applyProtection="1">
      <alignment horizontal="right" shrinkToFit="1"/>
    </xf>
    <xf numFmtId="170" fontId="25" fillId="0" borderId="0" xfId="5" applyNumberFormat="1" applyFont="1" applyFill="1" applyAlignment="1" applyProtection="1">
      <alignment horizontal="right" shrinkToFit="1"/>
    </xf>
    <xf numFmtId="0" fontId="25" fillId="0" borderId="0" xfId="4" applyNumberFormat="1" applyFont="1" applyFill="1" applyAlignment="1" applyProtection="1"/>
    <xf numFmtId="168" fontId="25" fillId="0" borderId="0" xfId="4" applyNumberFormat="1" applyFont="1" applyFill="1" applyAlignment="1" applyProtection="1">
      <alignment horizontal="right" vertical="top" shrinkToFit="1"/>
    </xf>
    <xf numFmtId="0" fontId="25" fillId="0" borderId="0" xfId="4" applyNumberFormat="1" applyFont="1" applyFill="1" applyAlignment="1" applyProtection="1">
      <alignment horizontal="right"/>
    </xf>
    <xf numFmtId="169" fontId="25" fillId="0" borderId="0" xfId="4" applyNumberFormat="1" applyFont="1" applyFill="1" applyAlignment="1" applyProtection="1">
      <alignment horizontal="right" shrinkToFit="1"/>
    </xf>
    <xf numFmtId="170" fontId="25" fillId="0" borderId="0" xfId="4" applyNumberFormat="1" applyFont="1" applyFill="1" applyAlignment="1" applyProtection="1">
      <alignment horizontal="right" shrinkToFit="1"/>
    </xf>
    <xf numFmtId="0" fontId="25" fillId="0" borderId="0" xfId="4" applyNumberFormat="1" applyFont="1" applyFill="1" applyAlignment="1" applyProtection="1">
      <alignment vertical="top" wrapText="1"/>
    </xf>
    <xf numFmtId="169" fontId="26" fillId="0" borderId="10" xfId="4" applyNumberFormat="1" applyFont="1" applyFill="1" applyBorder="1" applyAlignment="1" applyProtection="1">
      <alignment horizontal="right" shrinkToFit="1"/>
    </xf>
    <xf numFmtId="0" fontId="26" fillId="0" borderId="0" xfId="4" applyNumberFormat="1" applyFont="1" applyFill="1" applyBorder="1" applyAlignment="1" applyProtection="1">
      <alignment vertical="top" wrapText="1"/>
    </xf>
    <xf numFmtId="0" fontId="26" fillId="0" borderId="0" xfId="4" applyNumberFormat="1" applyFont="1" applyFill="1" applyBorder="1" applyAlignment="1" applyProtection="1"/>
    <xf numFmtId="168" fontId="25" fillId="0" borderId="0" xfId="4" applyNumberFormat="1" applyFont="1" applyFill="1" applyAlignment="1" applyProtection="1">
      <alignment horizontal="right" vertical="center" shrinkToFit="1"/>
    </xf>
    <xf numFmtId="0" fontId="25" fillId="0" borderId="0" xfId="4" applyNumberFormat="1" applyFont="1" applyFill="1" applyAlignment="1" applyProtection="1">
      <alignment vertical="center" wrapText="1"/>
    </xf>
    <xf numFmtId="0" fontId="29" fillId="0" borderId="0" xfId="4" applyNumberFormat="1" applyFont="1" applyFill="1" applyAlignment="1" applyProtection="1">
      <alignment horizontal="center" vertical="center"/>
    </xf>
    <xf numFmtId="169" fontId="25" fillId="0" borderId="0" xfId="4" applyNumberFormat="1" applyFont="1" applyFill="1" applyAlignment="1" applyProtection="1">
      <alignment horizontal="right" vertical="center" shrinkToFit="1"/>
    </xf>
    <xf numFmtId="170" fontId="25" fillId="0" borderId="0" xfId="4" applyNumberFormat="1" applyFont="1" applyFill="1" applyAlignment="1" applyProtection="1">
      <alignment horizontal="right" vertical="center" shrinkToFit="1"/>
    </xf>
    <xf numFmtId="0" fontId="25" fillId="0" borderId="0" xfId="4" applyNumberFormat="1" applyFont="1" applyFill="1" applyAlignment="1" applyProtection="1">
      <alignment vertical="center"/>
    </xf>
    <xf numFmtId="0" fontId="25" fillId="0" borderId="0" xfId="4" applyNumberFormat="1" applyFont="1" applyFill="1" applyBorder="1" applyAlignment="1" applyProtection="1">
      <alignment vertical="center"/>
    </xf>
    <xf numFmtId="16" fontId="25" fillId="0" borderId="0" xfId="4" quotePrefix="1" applyNumberFormat="1" applyFont="1" applyFill="1" applyBorder="1" applyAlignment="1" applyProtection="1">
      <alignment vertical="center"/>
    </xf>
    <xf numFmtId="171" fontId="25" fillId="0" borderId="0" xfId="4" applyNumberFormat="1" applyFont="1" applyFill="1" applyBorder="1" applyAlignment="1" applyProtection="1">
      <alignment vertical="center"/>
    </xf>
    <xf numFmtId="0" fontId="30" fillId="0" borderId="0" xfId="4" applyNumberFormat="1" applyFont="1" applyFill="1" applyBorder="1" applyAlignment="1" applyProtection="1">
      <alignment vertical="center"/>
    </xf>
    <xf numFmtId="0" fontId="25" fillId="0" borderId="0" xfId="4" quotePrefix="1" applyNumberFormat="1" applyFont="1" applyFill="1" applyBorder="1" applyAlignment="1" applyProtection="1">
      <alignment vertical="center"/>
    </xf>
    <xf numFmtId="0" fontId="25" fillId="0" borderId="0" xfId="4" applyNumberFormat="1" applyFont="1" applyFill="1" applyAlignment="1" applyProtection="1">
      <alignment horizontal="right" vertical="center"/>
    </xf>
    <xf numFmtId="0" fontId="29" fillId="0" borderId="0" xfId="4" quotePrefix="1" applyNumberFormat="1" applyFont="1" applyFill="1" applyAlignment="1" applyProtection="1">
      <alignment horizontal="center" vertical="center"/>
    </xf>
    <xf numFmtId="0" fontId="15" fillId="0" borderId="0" xfId="4" applyNumberFormat="1" applyFont="1" applyFill="1" applyAlignment="1" applyProtection="1">
      <alignment horizontal="center" vertical="center"/>
    </xf>
    <xf numFmtId="0" fontId="15" fillId="0" borderId="0" xfId="4" applyNumberFormat="1" applyFont="1" applyFill="1" applyAlignment="1" applyProtection="1">
      <alignment horizontal="center" vertical="center" wrapText="1"/>
    </xf>
    <xf numFmtId="0" fontId="25" fillId="0" borderId="24" xfId="4" applyNumberFormat="1" applyFont="1" applyFill="1" applyBorder="1" applyAlignment="1" applyProtection="1">
      <alignment vertical="center" wrapText="1"/>
    </xf>
    <xf numFmtId="0" fontId="25" fillId="0" borderId="24" xfId="4" applyNumberFormat="1" applyFont="1" applyFill="1" applyBorder="1" applyAlignment="1" applyProtection="1">
      <alignment horizontal="right" vertical="center"/>
    </xf>
    <xf numFmtId="169" fontId="25" fillId="0" borderId="24" xfId="4" applyNumberFormat="1" applyFont="1" applyFill="1" applyBorder="1" applyAlignment="1" applyProtection="1">
      <alignment horizontal="right" vertical="center" shrinkToFit="1"/>
    </xf>
    <xf numFmtId="170" fontId="25" fillId="0" borderId="24" xfId="4" applyNumberFormat="1" applyFont="1" applyFill="1" applyBorder="1" applyAlignment="1" applyProtection="1">
      <alignment horizontal="right" vertical="center" shrinkToFit="1"/>
    </xf>
    <xf numFmtId="0" fontId="25" fillId="0" borderId="26" xfId="4" applyNumberFormat="1" applyFont="1" applyFill="1" applyBorder="1" applyAlignment="1" applyProtection="1">
      <alignment vertical="center"/>
    </xf>
    <xf numFmtId="0" fontId="25" fillId="0" borderId="7" xfId="4" applyNumberFormat="1" applyFont="1" applyFill="1" applyBorder="1" applyAlignment="1" applyProtection="1">
      <alignment horizontal="right" vertical="center"/>
    </xf>
    <xf numFmtId="169" fontId="25" fillId="0" borderId="27" xfId="4" applyNumberFormat="1" applyFont="1" applyFill="1" applyBorder="1" applyAlignment="1" applyProtection="1">
      <alignment horizontal="right" vertical="center" shrinkToFit="1"/>
    </xf>
    <xf numFmtId="170" fontId="25" fillId="0" borderId="7" xfId="4" applyNumberFormat="1" applyFont="1" applyFill="1" applyBorder="1" applyAlignment="1" applyProtection="1">
      <alignment horizontal="right" vertical="center" shrinkToFit="1"/>
    </xf>
    <xf numFmtId="170" fontId="25" fillId="0" borderId="0" xfId="4" applyNumberFormat="1" applyFont="1" applyFill="1" applyBorder="1" applyAlignment="1" applyProtection="1">
      <alignment horizontal="right" vertical="center" shrinkToFit="1"/>
    </xf>
    <xf numFmtId="0" fontId="25" fillId="0" borderId="28" xfId="4" applyNumberFormat="1" applyFont="1" applyFill="1" applyBorder="1" applyAlignment="1" applyProtection="1">
      <alignment vertical="center"/>
    </xf>
    <xf numFmtId="0" fontId="25" fillId="0" borderId="29" xfId="4" applyNumberFormat="1" applyFont="1" applyFill="1" applyBorder="1" applyAlignment="1" applyProtection="1">
      <alignment horizontal="right" vertical="center"/>
    </xf>
    <xf numFmtId="169" fontId="25" fillId="0" borderId="30" xfId="4" applyNumberFormat="1" applyFont="1" applyFill="1" applyBorder="1" applyAlignment="1" applyProtection="1">
      <alignment horizontal="right" vertical="center" shrinkToFit="1"/>
    </xf>
    <xf numFmtId="170" fontId="25" fillId="0" borderId="29" xfId="4" applyNumberFormat="1" applyFont="1" applyFill="1" applyBorder="1" applyAlignment="1" applyProtection="1">
      <alignment horizontal="right" vertical="center" shrinkToFit="1"/>
    </xf>
    <xf numFmtId="0" fontId="25" fillId="0" borderId="31" xfId="4" applyNumberFormat="1" applyFont="1" applyFill="1" applyBorder="1" applyAlignment="1" applyProtection="1">
      <alignment vertical="center"/>
    </xf>
    <xf numFmtId="0" fontId="25" fillId="0" borderId="10" xfId="4" applyNumberFormat="1" applyFont="1" applyFill="1" applyBorder="1" applyAlignment="1" applyProtection="1">
      <alignment horizontal="right" vertical="center"/>
    </xf>
    <xf numFmtId="169" fontId="25" fillId="0" borderId="32" xfId="4" applyNumberFormat="1" applyFont="1" applyFill="1" applyBorder="1" applyAlignment="1" applyProtection="1">
      <alignment horizontal="right" vertical="center" shrinkToFit="1"/>
    </xf>
    <xf numFmtId="170" fontId="25" fillId="0" borderId="10" xfId="4" applyNumberFormat="1" applyFont="1" applyFill="1" applyBorder="1" applyAlignment="1" applyProtection="1">
      <alignment horizontal="right" vertical="center" shrinkToFit="1"/>
    </xf>
    <xf numFmtId="0" fontId="25" fillId="0" borderId="33" xfId="4" applyNumberFormat="1" applyFont="1" applyFill="1" applyBorder="1" applyAlignment="1" applyProtection="1">
      <alignment vertical="center"/>
    </xf>
    <xf numFmtId="0" fontId="25" fillId="0" borderId="34" xfId="4" applyNumberFormat="1" applyFont="1" applyFill="1" applyBorder="1" applyAlignment="1" applyProtection="1">
      <alignment horizontal="right" vertical="center"/>
    </xf>
    <xf numFmtId="169" fontId="25" fillId="0" borderId="35" xfId="4" applyNumberFormat="1" applyFont="1" applyFill="1" applyBorder="1" applyAlignment="1" applyProtection="1">
      <alignment horizontal="right" vertical="center" shrinkToFit="1"/>
    </xf>
    <xf numFmtId="170" fontId="25" fillId="0" borderId="34" xfId="4" applyNumberFormat="1" applyFont="1" applyFill="1" applyBorder="1" applyAlignment="1" applyProtection="1">
      <alignment horizontal="right" vertical="center" shrinkToFit="1"/>
    </xf>
    <xf numFmtId="49" fontId="32" fillId="0" borderId="1" xfId="0" applyNumberFormat="1" applyFont="1" applyFill="1" applyBorder="1" applyAlignment="1">
      <alignment horizontal="center" vertical="center"/>
    </xf>
    <xf numFmtId="49" fontId="15" fillId="0" borderId="24" xfId="1" applyNumberFormat="1" applyFont="1" applyBorder="1" applyAlignment="1">
      <alignment horizontal="left"/>
    </xf>
    <xf numFmtId="166" fontId="15" fillId="0" borderId="25" xfId="1" applyNumberFormat="1" applyFont="1" applyBorder="1" applyAlignment="1">
      <alignment horizontal="right" vertical="center" wrapText="1" indent="2"/>
    </xf>
    <xf numFmtId="0" fontId="36" fillId="0" borderId="0" xfId="2" applyFont="1"/>
    <xf numFmtId="0" fontId="7" fillId="0" borderId="41" xfId="1" applyFont="1" applyBorder="1" applyAlignment="1">
      <alignment horizontal="justify" vertical="center" wrapText="1"/>
    </xf>
    <xf numFmtId="49" fontId="15" fillId="0" borderId="42" xfId="1" applyNumberFormat="1" applyFont="1" applyBorder="1" applyAlignment="1">
      <alignment horizontal="left" indent="1"/>
    </xf>
    <xf numFmtId="49" fontId="3" fillId="0" borderId="24" xfId="1" applyNumberFormat="1" applyFont="1" applyBorder="1" applyAlignment="1">
      <alignment horizontal="center" vertical="center"/>
    </xf>
    <xf numFmtId="4" fontId="15" fillId="0" borderId="24" xfId="1" applyNumberFormat="1" applyFont="1" applyBorder="1" applyAlignment="1">
      <alignment horizontal="right" vertical="center" indent="1"/>
    </xf>
    <xf numFmtId="49" fontId="7" fillId="0" borderId="43" xfId="1" applyNumberFormat="1" applyFont="1" applyBorder="1" applyAlignment="1">
      <alignment horizontal="center" vertical="center"/>
    </xf>
    <xf numFmtId="49" fontId="7" fillId="0" borderId="39" xfId="1" applyNumberFormat="1" applyFont="1" applyBorder="1" applyAlignment="1">
      <alignment horizontal="left" vertical="center"/>
    </xf>
    <xf numFmtId="49" fontId="7" fillId="0" borderId="40" xfId="1" applyNumberFormat="1" applyFont="1" applyBorder="1" applyAlignment="1">
      <alignment horizontal="left" vertical="center"/>
    </xf>
    <xf numFmtId="4" fontId="7" fillId="0" borderId="43" xfId="1" applyNumberFormat="1" applyFont="1" applyBorder="1" applyAlignment="1">
      <alignment horizontal="right" vertical="center"/>
    </xf>
    <xf numFmtId="49" fontId="41" fillId="0" borderId="44" xfId="27" applyNumberFormat="1" applyFont="1" applyBorder="1" applyAlignment="1">
      <alignment horizontal="center" vertical="top"/>
    </xf>
    <xf numFmtId="39" fontId="41" fillId="0" borderId="44" xfId="27" applyNumberFormat="1" applyFont="1" applyBorder="1" applyAlignment="1">
      <alignment horizontal="center" vertical="center" wrapText="1"/>
    </xf>
    <xf numFmtId="0" fontId="41" fillId="0" borderId="44" xfId="27" applyFont="1" applyBorder="1" applyAlignment="1">
      <alignment horizontal="center" vertical="center" wrapText="1"/>
    </xf>
    <xf numFmtId="0" fontId="41" fillId="0" borderId="44" xfId="27" applyFont="1" applyBorder="1" applyAlignment="1">
      <alignment horizontal="center" vertical="center"/>
    </xf>
    <xf numFmtId="4" fontId="41" fillId="0" borderId="44" xfId="27" applyNumberFormat="1" applyFont="1" applyBorder="1" applyAlignment="1">
      <alignment horizontal="center" vertical="center"/>
    </xf>
    <xf numFmtId="0" fontId="41" fillId="0" borderId="0" xfId="27" applyFont="1" applyAlignment="1">
      <alignment horizontal="left" vertical="center"/>
    </xf>
    <xf numFmtId="49" fontId="42" fillId="0" borderId="0" xfId="27" applyNumberFormat="1" applyFont="1" applyAlignment="1">
      <alignment horizontal="left" vertical="top"/>
    </xf>
    <xf numFmtId="0" fontId="42" fillId="0" borderId="0" xfId="27" applyFont="1" applyAlignment="1">
      <alignment horizontal="left" vertical="top" wrapText="1"/>
    </xf>
    <xf numFmtId="4" fontId="42" fillId="0" borderId="0" xfId="27" applyNumberFormat="1" applyFont="1" applyAlignment="1">
      <alignment horizontal="center" vertical="center"/>
    </xf>
    <xf numFmtId="0" fontId="42" fillId="0" borderId="0" xfId="27" applyFont="1" applyAlignment="1">
      <alignment horizontal="center" vertical="center"/>
    </xf>
    <xf numFmtId="4" fontId="42" fillId="0" borderId="0" xfId="27" applyNumberFormat="1" applyFont="1" applyAlignment="1">
      <alignment horizontal="right" vertical="center"/>
    </xf>
    <xf numFmtId="49" fontId="41" fillId="0" borderId="0" xfId="27" applyNumberFormat="1" applyFont="1" applyAlignment="1">
      <alignment horizontal="left" vertical="top"/>
    </xf>
    <xf numFmtId="0" fontId="41" fillId="0" borderId="0" xfId="27" applyFont="1" applyAlignment="1">
      <alignment horizontal="left" vertical="top" wrapText="1"/>
    </xf>
    <xf numFmtId="0" fontId="41" fillId="0" borderId="0" xfId="27" applyFont="1" applyAlignment="1">
      <alignment horizontal="center" vertical="center" wrapText="1"/>
    </xf>
    <xf numFmtId="4" fontId="41" fillId="0" borderId="0" xfId="27" applyNumberFormat="1" applyFont="1" applyAlignment="1">
      <alignment horizontal="right" vertical="center" wrapText="1"/>
    </xf>
    <xf numFmtId="0" fontId="41" fillId="0" borderId="0" xfId="27" applyFont="1" applyAlignment="1">
      <alignment horizontal="center" vertical="center"/>
    </xf>
    <xf numFmtId="4" fontId="41" fillId="0" borderId="0" xfId="27" applyNumberFormat="1" applyFont="1" applyAlignment="1">
      <alignment horizontal="right" vertical="center"/>
    </xf>
    <xf numFmtId="49" fontId="43" fillId="0" borderId="0" xfId="27" applyNumberFormat="1" applyFont="1" applyAlignment="1">
      <alignment horizontal="left" vertical="top"/>
    </xf>
    <xf numFmtId="0" fontId="43" fillId="0" borderId="0" xfId="27" applyFont="1" applyAlignment="1">
      <alignment horizontal="left" vertical="top" wrapText="1"/>
    </xf>
    <xf numFmtId="172" fontId="42" fillId="0" borderId="0" xfId="27" applyNumberFormat="1" applyFont="1" applyAlignment="1">
      <alignment horizontal="center" vertical="center"/>
    </xf>
    <xf numFmtId="172" fontId="42" fillId="0" borderId="0" xfId="27" applyNumberFormat="1" applyFont="1" applyAlignment="1">
      <alignment horizontal="right" vertical="center"/>
    </xf>
    <xf numFmtId="4" fontId="44" fillId="0" borderId="0" xfId="27" applyNumberFormat="1" applyFont="1" applyAlignment="1">
      <alignment horizontal="center" vertical="center"/>
    </xf>
    <xf numFmtId="0" fontId="45" fillId="0" borderId="0" xfId="27" applyFont="1" applyAlignment="1">
      <alignment horizontal="center" vertical="center"/>
    </xf>
    <xf numFmtId="172" fontId="41" fillId="0" borderId="0" xfId="27" applyNumberFormat="1" applyFont="1" applyAlignment="1">
      <alignment horizontal="center" vertical="center"/>
    </xf>
    <xf numFmtId="172" fontId="41" fillId="0" borderId="0" xfId="27" applyNumberFormat="1" applyFont="1" applyAlignment="1">
      <alignment horizontal="right" vertical="center"/>
    </xf>
    <xf numFmtId="0" fontId="42" fillId="0" borderId="0" xfId="27" applyFont="1" applyAlignment="1">
      <alignment horizontal="left" wrapText="1"/>
    </xf>
    <xf numFmtId="0" fontId="42" fillId="0" borderId="0" xfId="27" applyFont="1"/>
    <xf numFmtId="49" fontId="42" fillId="0" borderId="0" xfId="27" applyNumberFormat="1" applyFont="1" applyAlignment="1">
      <alignment horizontal="left" vertical="top" wrapText="1"/>
    </xf>
    <xf numFmtId="173" fontId="42" fillId="0" borderId="0" xfId="27" applyNumberFormat="1" applyFont="1" applyAlignment="1">
      <alignment horizontal="center" vertical="center"/>
    </xf>
    <xf numFmtId="173" fontId="42" fillId="0" borderId="0" xfId="27" applyNumberFormat="1" applyFont="1" applyAlignment="1">
      <alignment horizontal="right" vertical="center"/>
    </xf>
    <xf numFmtId="49" fontId="46" fillId="0" borderId="0" xfId="27" applyNumberFormat="1" applyFont="1" applyAlignment="1">
      <alignment horizontal="left" vertical="top" wrapText="1"/>
    </xf>
    <xf numFmtId="0" fontId="46" fillId="0" borderId="0" xfId="27" applyFont="1" applyAlignment="1">
      <alignment horizontal="left" vertical="top" wrapText="1"/>
    </xf>
    <xf numFmtId="4" fontId="44" fillId="0" borderId="0" xfId="27" applyNumberFormat="1" applyFont="1" applyAlignment="1">
      <alignment horizontal="center" vertical="center" wrapText="1"/>
    </xf>
    <xf numFmtId="0" fontId="42" fillId="0" borderId="0" xfId="27" applyFont="1" applyAlignment="1">
      <alignment horizontal="center" vertical="center" wrapText="1"/>
    </xf>
    <xf numFmtId="172" fontId="46" fillId="0" borderId="0" xfId="27" applyNumberFormat="1" applyFont="1" applyAlignment="1">
      <alignment horizontal="center" vertical="center" wrapText="1"/>
    </xf>
    <xf numFmtId="172" fontId="46" fillId="0" borderId="0" xfId="27" applyNumberFormat="1" applyFont="1" applyAlignment="1">
      <alignment horizontal="right" vertical="center" wrapText="1"/>
    </xf>
    <xf numFmtId="4" fontId="46" fillId="0" borderId="0" xfId="27" applyNumberFormat="1" applyFont="1" applyAlignment="1">
      <alignment horizontal="center" vertical="center" wrapText="1"/>
    </xf>
    <xf numFmtId="0" fontId="46" fillId="0" borderId="0" xfId="27" applyFont="1" applyAlignment="1">
      <alignment horizontal="center" vertical="center" wrapText="1"/>
    </xf>
    <xf numFmtId="0" fontId="45" fillId="0" borderId="0" xfId="27" applyFont="1" applyAlignment="1">
      <alignment horizontal="center" vertical="center" wrapText="1"/>
    </xf>
    <xf numFmtId="172" fontId="41" fillId="0" borderId="0" xfId="27" applyNumberFormat="1" applyFont="1" applyAlignment="1">
      <alignment horizontal="center" vertical="center" wrapText="1"/>
    </xf>
    <xf numFmtId="172" fontId="41" fillId="0" borderId="0" xfId="27" applyNumberFormat="1" applyFont="1" applyAlignment="1">
      <alignment horizontal="right" vertical="center" wrapText="1"/>
    </xf>
    <xf numFmtId="0" fontId="44" fillId="0" borderId="0" xfId="27" applyFont="1" applyAlignment="1">
      <alignment horizontal="left" vertical="top" wrapText="1"/>
    </xf>
    <xf numFmtId="0" fontId="44" fillId="0" borderId="0" xfId="27" applyFont="1" applyAlignment="1">
      <alignment horizontal="center" vertical="center"/>
    </xf>
    <xf numFmtId="172" fontId="44" fillId="0" borderId="0" xfId="27" applyNumberFormat="1" applyFont="1" applyAlignment="1">
      <alignment horizontal="right" vertical="center"/>
    </xf>
    <xf numFmtId="4" fontId="47" fillId="0" borderId="0" xfId="27" applyNumberFormat="1" applyFont="1" applyAlignment="1">
      <alignment horizontal="center" vertical="center"/>
    </xf>
    <xf numFmtId="49" fontId="48" fillId="0" borderId="0" xfId="28" applyNumberFormat="1" applyFont="1" applyAlignment="1">
      <alignment horizontal="left" vertical="top"/>
    </xf>
    <xf numFmtId="0" fontId="47" fillId="0" borderId="0" xfId="28" applyFont="1" applyAlignment="1">
      <alignment horizontal="left" vertical="top" wrapText="1"/>
    </xf>
    <xf numFmtId="4" fontId="49" fillId="0" borderId="0" xfId="28" applyNumberFormat="1" applyFont="1" applyAlignment="1">
      <alignment horizontal="center" vertical="center"/>
    </xf>
    <xf numFmtId="0" fontId="47" fillId="0" borderId="0" xfId="28" applyFont="1" applyAlignment="1">
      <alignment horizontal="center" vertical="center"/>
    </xf>
    <xf numFmtId="172" fontId="47" fillId="0" borderId="0" xfId="28" applyNumberFormat="1" applyFont="1" applyAlignment="1">
      <alignment horizontal="center" vertical="center"/>
    </xf>
    <xf numFmtId="172" fontId="47" fillId="0" borderId="0" xfId="28" applyNumberFormat="1" applyFont="1" applyAlignment="1">
      <alignment horizontal="right" vertical="center"/>
    </xf>
    <xf numFmtId="4" fontId="47" fillId="0" borderId="0" xfId="28" applyNumberFormat="1" applyFont="1" applyAlignment="1">
      <alignment horizontal="center" vertical="center"/>
    </xf>
    <xf numFmtId="0" fontId="50" fillId="0" borderId="0" xfId="27" applyFont="1" applyAlignment="1">
      <alignment horizontal="center" vertical="center"/>
    </xf>
    <xf numFmtId="0" fontId="48" fillId="0" borderId="0" xfId="27" applyFont="1" applyAlignment="1">
      <alignment horizontal="center" vertical="center"/>
    </xf>
    <xf numFmtId="4" fontId="48" fillId="0" borderId="0" xfId="27" applyNumberFormat="1" applyFont="1" applyAlignment="1">
      <alignment horizontal="center" vertical="center"/>
    </xf>
    <xf numFmtId="0" fontId="42" fillId="0" borderId="0" xfId="27" applyFont="1" applyAlignment="1">
      <alignment vertical="top"/>
    </xf>
    <xf numFmtId="4" fontId="42" fillId="0" borderId="0" xfId="28" applyNumberFormat="1" applyFont="1" applyAlignment="1">
      <alignment horizontal="left" vertical="top" wrapText="1"/>
    </xf>
    <xf numFmtId="0" fontId="42" fillId="0" borderId="0" xfId="28" applyFont="1" applyAlignment="1">
      <alignment horizontal="center" vertical="center"/>
    </xf>
    <xf numFmtId="49" fontId="42" fillId="0" borderId="0" xfId="28" applyNumberFormat="1" applyFont="1" applyAlignment="1">
      <alignment horizontal="left" vertical="top"/>
    </xf>
    <xf numFmtId="0" fontId="42" fillId="0" borderId="0" xfId="28" applyFont="1" applyAlignment="1">
      <alignment horizontal="left" vertical="top" wrapText="1"/>
    </xf>
    <xf numFmtId="4" fontId="44" fillId="0" borderId="0" xfId="28" applyNumberFormat="1" applyFont="1" applyAlignment="1">
      <alignment horizontal="center" vertical="center"/>
    </xf>
    <xf numFmtId="172" fontId="42" fillId="0" borderId="0" xfId="28" applyNumberFormat="1" applyFont="1" applyAlignment="1">
      <alignment horizontal="center" vertical="center"/>
    </xf>
    <xf numFmtId="172" fontId="42" fillId="0" borderId="0" xfId="28" applyNumberFormat="1" applyFont="1" applyAlignment="1">
      <alignment horizontal="right" vertical="center"/>
    </xf>
    <xf numFmtId="172" fontId="46" fillId="0" borderId="0" xfId="27" applyNumberFormat="1" applyFont="1" applyAlignment="1">
      <alignment horizontal="center" vertical="center"/>
    </xf>
    <xf numFmtId="172" fontId="46" fillId="0" borderId="0" xfId="27" applyNumberFormat="1" applyFont="1" applyAlignment="1">
      <alignment horizontal="right" vertical="center"/>
    </xf>
    <xf numFmtId="49" fontId="46" fillId="0" borderId="0" xfId="27" applyNumberFormat="1" applyFont="1" applyAlignment="1">
      <alignment horizontal="left" vertical="top"/>
    </xf>
    <xf numFmtId="4" fontId="44" fillId="0" borderId="0" xfId="28" applyNumberFormat="1" applyFont="1" applyAlignment="1">
      <alignment horizontal="center"/>
    </xf>
    <xf numFmtId="172" fontId="42" fillId="0" borderId="0" xfId="28" applyNumberFormat="1" applyFont="1" applyAlignment="1">
      <alignment horizontal="center"/>
    </xf>
    <xf numFmtId="4" fontId="41" fillId="0" borderId="0" xfId="27" applyNumberFormat="1" applyFont="1" applyAlignment="1">
      <alignment horizontal="center" vertical="center"/>
    </xf>
    <xf numFmtId="4" fontId="42" fillId="0" borderId="0" xfId="28" applyNumberFormat="1" applyFont="1" applyAlignment="1">
      <alignment horizontal="center" vertical="center"/>
    </xf>
    <xf numFmtId="0" fontId="44" fillId="0" borderId="0" xfId="27" applyFont="1"/>
    <xf numFmtId="4" fontId="49" fillId="0" borderId="0" xfId="27" applyNumberFormat="1" applyFont="1" applyAlignment="1">
      <alignment horizontal="center"/>
    </xf>
    <xf numFmtId="0" fontId="47" fillId="0" borderId="0" xfId="27" applyFont="1" applyAlignment="1">
      <alignment horizontal="center"/>
    </xf>
    <xf numFmtId="4" fontId="47" fillId="0" borderId="0" xfId="27" applyNumberFormat="1" applyFont="1" applyAlignment="1">
      <alignment horizontal="center"/>
    </xf>
    <xf numFmtId="4" fontId="42" fillId="0" borderId="0" xfId="27" applyNumberFormat="1" applyFont="1" applyAlignment="1">
      <alignment horizontal="right"/>
    </xf>
    <xf numFmtId="0" fontId="49" fillId="0" borderId="0" xfId="27" applyFont="1" applyAlignment="1">
      <alignment horizontal="center" vertical="center"/>
    </xf>
    <xf numFmtId="0" fontId="44" fillId="0" borderId="0" xfId="27" applyFont="1" applyAlignment="1">
      <alignment vertical="top"/>
    </xf>
    <xf numFmtId="172" fontId="42" fillId="0" borderId="0" xfId="27" applyNumberFormat="1" applyFont="1"/>
    <xf numFmtId="0" fontId="40" fillId="0" borderId="0" xfId="27"/>
    <xf numFmtId="0" fontId="51" fillId="0" borderId="0" xfId="27" applyFont="1" applyAlignment="1">
      <alignment horizontal="center" vertical="center"/>
    </xf>
    <xf numFmtId="0" fontId="42" fillId="0" borderId="0" xfId="27" applyFont="1" applyAlignment="1">
      <alignment wrapText="1"/>
    </xf>
    <xf numFmtId="0" fontId="42" fillId="0" borderId="0" xfId="27" applyFont="1" applyAlignment="1">
      <alignment vertical="center" wrapText="1"/>
    </xf>
    <xf numFmtId="4" fontId="53" fillId="0" borderId="0" xfId="27" applyNumberFormat="1" applyFont="1" applyAlignment="1">
      <alignment horizontal="center" vertical="center"/>
    </xf>
    <xf numFmtId="0" fontId="54" fillId="0" borderId="0" xfId="27" applyFont="1" applyAlignment="1">
      <alignment horizontal="center" vertical="center"/>
    </xf>
    <xf numFmtId="0" fontId="55" fillId="0" borderId="0" xfId="27" applyFont="1" applyAlignment="1">
      <alignment horizontal="center" vertical="center"/>
    </xf>
    <xf numFmtId="49" fontId="56" fillId="0" borderId="0" xfId="27" applyNumberFormat="1" applyFont="1" applyAlignment="1">
      <alignment horizontal="left" vertical="top"/>
    </xf>
    <xf numFmtId="4" fontId="51" fillId="0" borderId="0" xfId="28" applyNumberFormat="1" applyFont="1" applyAlignment="1">
      <alignment horizontal="left" vertical="top" wrapText="1"/>
    </xf>
    <xf numFmtId="172" fontId="51" fillId="0" borderId="0" xfId="27" applyNumberFormat="1" applyFont="1" applyAlignment="1">
      <alignment horizontal="center" vertical="center"/>
    </xf>
    <xf numFmtId="172" fontId="51" fillId="0" borderId="0" xfId="27" applyNumberFormat="1" applyFont="1" applyAlignment="1">
      <alignment horizontal="right" vertical="center"/>
    </xf>
    <xf numFmtId="4" fontId="46" fillId="0" borderId="0" xfId="27" applyNumberFormat="1" applyFont="1" applyAlignment="1">
      <alignment horizontal="center" vertical="center"/>
    </xf>
    <xf numFmtId="4" fontId="46" fillId="0" borderId="0" xfId="27" applyNumberFormat="1" applyFont="1" applyAlignment="1">
      <alignment horizontal="right" vertical="center"/>
    </xf>
    <xf numFmtId="4" fontId="42" fillId="0" borderId="0" xfId="28" applyNumberFormat="1" applyFont="1" applyAlignment="1">
      <alignment horizontal="right" vertical="center"/>
    </xf>
    <xf numFmtId="0" fontId="42" fillId="0" borderId="0" xfId="27" applyFont="1" applyAlignment="1">
      <alignment horizontal="center" vertical="top"/>
    </xf>
    <xf numFmtId="0" fontId="47" fillId="0" borderId="0" xfId="27" applyFont="1" applyAlignment="1">
      <alignment horizontal="center" vertical="center"/>
    </xf>
    <xf numFmtId="0" fontId="42" fillId="0" borderId="0" xfId="0" applyFont="1"/>
    <xf numFmtId="0" fontId="42" fillId="0" borderId="0" xfId="0" applyFont="1" applyAlignment="1">
      <alignment wrapText="1"/>
    </xf>
    <xf numFmtId="0" fontId="42" fillId="0" borderId="0" xfId="0" applyFont="1" applyAlignment="1">
      <alignment horizontal="center" vertical="center"/>
    </xf>
    <xf numFmtId="0" fontId="42" fillId="0" borderId="0" xfId="27" applyFont="1" applyAlignment="1">
      <alignment vertical="center"/>
    </xf>
    <xf numFmtId="0" fontId="42" fillId="0" borderId="0" xfId="27" applyNumberFormat="1" applyFont="1" applyAlignment="1">
      <alignment horizontal="right" vertical="top" wrapText="1"/>
    </xf>
    <xf numFmtId="0" fontId="51" fillId="0" borderId="0" xfId="0" applyFont="1" applyAlignment="1">
      <alignment horizontal="center" vertical="center"/>
    </xf>
    <xf numFmtId="172" fontId="42" fillId="0" borderId="0" xfId="0" applyNumberFormat="1" applyFont="1"/>
    <xf numFmtId="0" fontId="37" fillId="0" borderId="1" xfId="0" applyFont="1" applyBorder="1" applyAlignment="1">
      <alignment horizontal="left" vertical="top" wrapText="1"/>
    </xf>
    <xf numFmtId="0" fontId="37" fillId="0" borderId="1" xfId="0" applyFont="1" applyFill="1" applyBorder="1" applyAlignment="1">
      <alignment horizontal="left" vertical="top" wrapText="1"/>
    </xf>
    <xf numFmtId="49" fontId="37" fillId="0" borderId="1" xfId="0" applyNumberFormat="1" applyFont="1" applyBorder="1" applyAlignment="1" applyProtection="1">
      <alignment horizontal="center" vertical="center"/>
    </xf>
    <xf numFmtId="165" fontId="37" fillId="0" borderId="1" xfId="0" applyNumberFormat="1" applyFont="1" applyBorder="1" applyAlignment="1" applyProtection="1">
      <alignment horizontal="right" indent="1"/>
      <protection locked="0"/>
    </xf>
    <xf numFmtId="0" fontId="37" fillId="0" borderId="1" xfId="0" applyFont="1" applyBorder="1"/>
    <xf numFmtId="165" fontId="37" fillId="0" borderId="1" xfId="0" applyNumberFormat="1" applyFont="1" applyBorder="1" applyAlignment="1">
      <alignment horizontal="right" indent="1"/>
    </xf>
    <xf numFmtId="49" fontId="37" fillId="0" borderId="1" xfId="0" applyNumberFormat="1" applyFont="1" applyBorder="1" applyAlignment="1">
      <alignment horizontal="left" vertical="top"/>
    </xf>
    <xf numFmtId="4" fontId="0" fillId="0" borderId="1" xfId="0" applyNumberFormat="1" applyFill="1" applyBorder="1" applyAlignment="1" applyProtection="1">
      <alignment horizontal="right" indent="1"/>
    </xf>
    <xf numFmtId="4" fontId="4" fillId="0" borderId="1" xfId="0" applyNumberFormat="1" applyFont="1" applyFill="1" applyBorder="1" applyAlignment="1" applyProtection="1">
      <alignment horizontal="right" indent="1"/>
    </xf>
    <xf numFmtId="0" fontId="5" fillId="0" borderId="1" xfId="0" applyFont="1" applyFill="1" applyBorder="1" applyAlignment="1">
      <alignment horizontal="left" vertical="top" wrapText="1"/>
    </xf>
    <xf numFmtId="4" fontId="37" fillId="0" borderId="1" xfId="0" applyNumberFormat="1" applyFont="1" applyFill="1" applyBorder="1" applyAlignment="1" applyProtection="1">
      <alignment horizontal="right" indent="1"/>
    </xf>
    <xf numFmtId="0" fontId="37" fillId="0" borderId="1" xfId="0" applyFont="1" applyBorder="1" applyAlignment="1" applyProtection="1">
      <alignment horizontal="left" vertical="top" wrapText="1"/>
    </xf>
    <xf numFmtId="0" fontId="37" fillId="0" borderId="0" xfId="0" applyFont="1"/>
    <xf numFmtId="0" fontId="37" fillId="0" borderId="0" xfId="0" applyFont="1" applyAlignment="1">
      <alignment wrapText="1"/>
    </xf>
    <xf numFmtId="49" fontId="5" fillId="0" borderId="1" xfId="0" applyNumberFormat="1" applyFont="1" applyFill="1" applyBorder="1" applyAlignment="1">
      <alignment horizontal="center"/>
    </xf>
    <xf numFmtId="49" fontId="20" fillId="0" borderId="0" xfId="0" applyNumberFormat="1" applyFont="1" applyAlignment="1">
      <alignment horizontal="left" vertical="top" wrapText="1"/>
    </xf>
    <xf numFmtId="4" fontId="42" fillId="0" borderId="0" xfId="27" applyNumberFormat="1" applyFont="1" applyFill="1" applyAlignment="1">
      <alignment horizontal="center" vertical="center"/>
    </xf>
    <xf numFmtId="0" fontId="45" fillId="0" borderId="0" xfId="27" applyFont="1" applyFill="1" applyAlignment="1">
      <alignment horizontal="center" vertical="center"/>
    </xf>
    <xf numFmtId="4" fontId="44" fillId="0" borderId="0" xfId="27" applyNumberFormat="1" applyFont="1" applyFill="1" applyAlignment="1">
      <alignment horizontal="center" vertical="center"/>
    </xf>
    <xf numFmtId="4" fontId="44" fillId="0" borderId="0" xfId="28" applyNumberFormat="1" applyFont="1" applyFill="1" applyAlignment="1">
      <alignment horizontal="center" vertical="center"/>
    </xf>
    <xf numFmtId="0" fontId="42" fillId="0" borderId="0" xfId="27" applyFont="1" applyFill="1"/>
    <xf numFmtId="0" fontId="42" fillId="0" borderId="0" xfId="27" applyFont="1" applyFill="1" applyAlignment="1">
      <alignment vertical="center"/>
    </xf>
    <xf numFmtId="0" fontId="42" fillId="0" borderId="0" xfId="0" applyFont="1" applyFill="1" applyAlignment="1">
      <alignment horizontal="right" vertical="center"/>
    </xf>
    <xf numFmtId="0" fontId="42" fillId="0" borderId="0" xfId="0" applyFont="1" applyFill="1"/>
    <xf numFmtId="4" fontId="51" fillId="0" borderId="0" xfId="27" applyNumberFormat="1" applyFont="1" applyFill="1" applyAlignment="1">
      <alignment horizontal="center" vertical="center"/>
    </xf>
    <xf numFmtId="0" fontId="41" fillId="0" borderId="44" xfId="27" applyFont="1" applyFill="1" applyBorder="1" applyAlignment="1">
      <alignment horizontal="center" vertical="center" wrapText="1"/>
    </xf>
    <xf numFmtId="0" fontId="41" fillId="0" borderId="0" xfId="27" applyFont="1" applyFill="1" applyAlignment="1">
      <alignment horizontal="center" vertical="center" wrapText="1"/>
    </xf>
    <xf numFmtId="0" fontId="41" fillId="0" borderId="0" xfId="27" applyFont="1" applyFill="1" applyAlignment="1">
      <alignment horizontal="center" vertical="center"/>
    </xf>
    <xf numFmtId="0" fontId="42" fillId="0" borderId="0" xfId="27" applyFont="1" applyFill="1" applyAlignment="1">
      <alignment horizontal="center" vertical="center"/>
    </xf>
    <xf numFmtId="4" fontId="44" fillId="0" borderId="0" xfId="27" applyNumberFormat="1" applyFont="1" applyFill="1" applyAlignment="1">
      <alignment horizontal="center" vertical="center" wrapText="1"/>
    </xf>
    <xf numFmtId="0" fontId="45" fillId="0" borderId="0" xfId="27" applyFont="1" applyFill="1" applyAlignment="1">
      <alignment horizontal="center" vertical="center" wrapText="1"/>
    </xf>
    <xf numFmtId="4" fontId="49" fillId="0" borderId="0" xfId="28" applyNumberFormat="1" applyFont="1" applyFill="1" applyAlignment="1">
      <alignment horizontal="center" vertical="center"/>
    </xf>
    <xf numFmtId="4" fontId="44" fillId="0" borderId="0" xfId="28" applyNumberFormat="1" applyFont="1" applyFill="1" applyAlignment="1">
      <alignment horizontal="center"/>
    </xf>
    <xf numFmtId="4" fontId="49" fillId="0" borderId="0" xfId="27" applyNumberFormat="1" applyFont="1" applyFill="1" applyAlignment="1">
      <alignment horizontal="center"/>
    </xf>
    <xf numFmtId="0" fontId="42" fillId="0" borderId="0" xfId="28" applyFont="1" applyFill="1" applyAlignment="1">
      <alignment horizontal="center" vertical="center"/>
    </xf>
    <xf numFmtId="170" fontId="5" fillId="0" borderId="27" xfId="4" applyNumberFormat="1" applyFont="1" applyFill="1" applyBorder="1" applyAlignment="1" applyProtection="1">
      <alignment horizontal="right" vertical="center" shrinkToFit="1"/>
    </xf>
    <xf numFmtId="170" fontId="5" fillId="0" borderId="30" xfId="4" applyNumberFormat="1" applyFont="1" applyFill="1" applyBorder="1" applyAlignment="1" applyProtection="1">
      <alignment horizontal="right" vertical="center" shrinkToFit="1"/>
    </xf>
    <xf numFmtId="170" fontId="5" fillId="0" borderId="32" xfId="4" applyNumberFormat="1" applyFont="1" applyFill="1" applyBorder="1" applyAlignment="1" applyProtection="1">
      <alignment horizontal="right" vertical="center" shrinkToFit="1"/>
    </xf>
    <xf numFmtId="170" fontId="5" fillId="0" borderId="35" xfId="4" applyNumberFormat="1" applyFont="1" applyFill="1" applyBorder="1" applyAlignment="1" applyProtection="1">
      <alignment horizontal="right" vertical="center" shrinkToFit="1"/>
    </xf>
    <xf numFmtId="175" fontId="58" fillId="0" borderId="45" xfId="29" applyNumberFormat="1" applyFont="1" applyBorder="1"/>
    <xf numFmtId="174" fontId="58" fillId="0" borderId="45" xfId="29" applyFont="1" applyBorder="1"/>
    <xf numFmtId="176" fontId="58" fillId="0" borderId="45" xfId="30" applyFont="1" applyBorder="1"/>
    <xf numFmtId="177" fontId="58" fillId="0" borderId="45" xfId="30" applyNumberFormat="1" applyFont="1" applyBorder="1"/>
    <xf numFmtId="174" fontId="35" fillId="0" borderId="0" xfId="29" applyFont="1"/>
    <xf numFmtId="175" fontId="59" fillId="0" borderId="0" xfId="29" applyNumberFormat="1" applyFont="1"/>
    <xf numFmtId="174" fontId="59" fillId="0" borderId="0" xfId="29" applyFont="1"/>
    <xf numFmtId="176" fontId="59" fillId="0" borderId="0" xfId="30" applyFont="1"/>
    <xf numFmtId="177" fontId="59" fillId="0" borderId="0" xfId="30" applyNumberFormat="1" applyFont="1"/>
    <xf numFmtId="174" fontId="60" fillId="0" borderId="0" xfId="29" applyFont="1"/>
    <xf numFmtId="174" fontId="61" fillId="0" borderId="0" xfId="29" applyFont="1"/>
    <xf numFmtId="174" fontId="59" fillId="0" borderId="46" xfId="29" applyFont="1" applyBorder="1"/>
    <xf numFmtId="175" fontId="59" fillId="0" borderId="47" xfId="29" applyNumberFormat="1" applyFont="1" applyBorder="1"/>
    <xf numFmtId="174" fontId="59" fillId="0" borderId="47" xfId="29" applyFont="1" applyBorder="1"/>
    <xf numFmtId="176" fontId="59" fillId="0" borderId="47" xfId="30" applyFont="1" applyBorder="1"/>
    <xf numFmtId="177" fontId="59" fillId="0" borderId="48" xfId="30" applyNumberFormat="1" applyFont="1" applyBorder="1"/>
    <xf numFmtId="174" fontId="62" fillId="0" borderId="0" xfId="29" applyFont="1"/>
    <xf numFmtId="174" fontId="63" fillId="0" borderId="0" xfId="29" applyFont="1"/>
    <xf numFmtId="175" fontId="63" fillId="0" borderId="0" xfId="29" applyNumberFormat="1" applyFont="1"/>
    <xf numFmtId="176" fontId="63" fillId="0" borderId="0" xfId="30" applyFont="1"/>
    <xf numFmtId="177" fontId="63" fillId="0" borderId="0" xfId="30" applyNumberFormat="1" applyFont="1"/>
    <xf numFmtId="174" fontId="63" fillId="0" borderId="49" xfId="29" applyFont="1" applyBorder="1"/>
    <xf numFmtId="175" fontId="63" fillId="0" borderId="49" xfId="29" applyNumberFormat="1" applyFont="1" applyBorder="1"/>
    <xf numFmtId="176" fontId="63" fillId="0" borderId="49" xfId="30" applyFont="1" applyBorder="1"/>
    <xf numFmtId="177" fontId="63" fillId="0" borderId="49" xfId="30" applyNumberFormat="1" applyFont="1" applyBorder="1"/>
    <xf numFmtId="175" fontId="59" fillId="0" borderId="48" xfId="29" applyNumberFormat="1" applyFont="1" applyBorder="1"/>
    <xf numFmtId="174" fontId="63" fillId="0" borderId="45" xfId="29" applyFont="1" applyBorder="1"/>
    <xf numFmtId="175" fontId="63" fillId="0" borderId="45" xfId="29" applyNumberFormat="1" applyFont="1" applyBorder="1"/>
    <xf numFmtId="176" fontId="63" fillId="0" borderId="45" xfId="30" applyFont="1" applyBorder="1"/>
    <xf numFmtId="177" fontId="63" fillId="0" borderId="45" xfId="30" applyNumberFormat="1" applyFont="1" applyBorder="1"/>
    <xf numFmtId="175" fontId="62" fillId="0" borderId="0" xfId="29" applyNumberFormat="1" applyFont="1"/>
    <xf numFmtId="175" fontId="35" fillId="0" borderId="0" xfId="29" applyNumberFormat="1" applyFont="1"/>
    <xf numFmtId="176" fontId="35" fillId="0" borderId="0" xfId="30" applyFont="1"/>
    <xf numFmtId="177" fontId="35" fillId="0" borderId="0" xfId="30" applyNumberFormat="1" applyFont="1"/>
    <xf numFmtId="176" fontId="62" fillId="0" borderId="0" xfId="30" applyFont="1"/>
    <xf numFmtId="177" fontId="62" fillId="0" borderId="0" xfId="30" applyNumberFormat="1" applyFont="1"/>
    <xf numFmtId="177" fontId="35" fillId="0" borderId="0" xfId="29" applyNumberFormat="1" applyFont="1"/>
    <xf numFmtId="174" fontId="35" fillId="0" borderId="36" xfId="29" applyFont="1" applyBorder="1"/>
    <xf numFmtId="175" fontId="35" fillId="0" borderId="37" xfId="29" applyNumberFormat="1" applyFont="1" applyBorder="1"/>
    <xf numFmtId="174" fontId="35" fillId="0" borderId="37" xfId="29" applyFont="1" applyBorder="1"/>
    <xf numFmtId="176" fontId="35" fillId="0" borderId="37" xfId="30" applyFont="1" applyBorder="1"/>
    <xf numFmtId="177" fontId="35" fillId="0" borderId="38" xfId="30" applyNumberFormat="1" applyFont="1" applyBorder="1" applyAlignment="1">
      <alignment horizontal="right"/>
    </xf>
    <xf numFmtId="177" fontId="35" fillId="0" borderId="0" xfId="30" applyNumberFormat="1" applyFont="1" applyAlignment="1">
      <alignment horizontal="right"/>
    </xf>
    <xf numFmtId="174" fontId="60" fillId="0" borderId="45" xfId="29" applyFont="1" applyBorder="1"/>
    <xf numFmtId="175" fontId="60" fillId="0" borderId="45" xfId="29" applyNumberFormat="1" applyFont="1" applyBorder="1"/>
    <xf numFmtId="176" fontId="60" fillId="0" borderId="45" xfId="30" applyFont="1" applyBorder="1"/>
    <xf numFmtId="177" fontId="60" fillId="0" borderId="45" xfId="30" applyNumberFormat="1" applyFont="1" applyBorder="1"/>
    <xf numFmtId="175" fontId="58" fillId="0" borderId="0" xfId="29" applyNumberFormat="1" applyFont="1"/>
    <xf numFmtId="175" fontId="60" fillId="0" borderId="0" xfId="29" applyNumberFormat="1" applyFont="1"/>
    <xf numFmtId="176" fontId="60" fillId="0" borderId="0" xfId="30" applyFont="1"/>
    <xf numFmtId="177" fontId="60" fillId="0" borderId="0" xfId="30" applyNumberFormat="1" applyFont="1"/>
    <xf numFmtId="174" fontId="35" fillId="0" borderId="49" xfId="29" applyFont="1" applyBorder="1"/>
    <xf numFmtId="175" fontId="35" fillId="0" borderId="49" xfId="29" applyNumberFormat="1" applyFont="1" applyBorder="1"/>
    <xf numFmtId="176" fontId="35" fillId="0" borderId="49" xfId="30" applyFont="1" applyBorder="1"/>
    <xf numFmtId="177" fontId="35" fillId="0" borderId="49" xfId="30" applyNumberFormat="1" applyFont="1" applyBorder="1"/>
    <xf numFmtId="2" fontId="35" fillId="0" borderId="0" xfId="29" applyNumberFormat="1" applyFont="1"/>
    <xf numFmtId="0" fontId="64" fillId="0" borderId="0" xfId="29" applyNumberFormat="1" applyFont="1"/>
    <xf numFmtId="174" fontId="65" fillId="0" borderId="0" xfId="29" applyFont="1"/>
    <xf numFmtId="175" fontId="66" fillId="0" borderId="0" xfId="29" applyNumberFormat="1" applyFont="1"/>
    <xf numFmtId="175" fontId="65" fillId="0" borderId="0" xfId="29" applyNumberFormat="1" applyFont="1"/>
    <xf numFmtId="176" fontId="65" fillId="0" borderId="0" xfId="30" applyFont="1"/>
    <xf numFmtId="177" fontId="65" fillId="0" borderId="0" xfId="30" applyNumberFormat="1" applyFont="1"/>
    <xf numFmtId="175" fontId="36" fillId="0" borderId="0" xfId="29" applyNumberFormat="1" applyFont="1"/>
    <xf numFmtId="174" fontId="5" fillId="0" borderId="0" xfId="29" applyFont="1"/>
    <xf numFmtId="174" fontId="66" fillId="0" borderId="0" xfId="29" applyFont="1"/>
    <xf numFmtId="174" fontId="67" fillId="0" borderId="0" xfId="29" applyFont="1"/>
    <xf numFmtId="176" fontId="66" fillId="0" borderId="0" xfId="30" applyFont="1"/>
    <xf numFmtId="177" fontId="66" fillId="0" borderId="0" xfId="30" applyNumberFormat="1" applyFont="1"/>
    <xf numFmtId="49" fontId="62" fillId="0" borderId="0" xfId="29" applyNumberFormat="1" applyFont="1"/>
    <xf numFmtId="177" fontId="62" fillId="0" borderId="0" xfId="29" applyNumberFormat="1" applyFont="1"/>
    <xf numFmtId="174" fontId="62" fillId="0" borderId="45" xfId="29" applyFont="1" applyBorder="1"/>
    <xf numFmtId="175" fontId="62" fillId="0" borderId="45" xfId="29" applyNumberFormat="1" applyFont="1" applyBorder="1"/>
    <xf numFmtId="176" fontId="62" fillId="0" borderId="45" xfId="30" applyFont="1" applyBorder="1"/>
    <xf numFmtId="177" fontId="62" fillId="0" borderId="45" xfId="30" applyNumberFormat="1" applyFont="1" applyBorder="1"/>
    <xf numFmtId="0" fontId="63" fillId="0" borderId="0" xfId="25" applyFont="1"/>
    <xf numFmtId="0" fontId="35" fillId="0" borderId="0" xfId="25"/>
    <xf numFmtId="0" fontId="63" fillId="0" borderId="0" xfId="25" applyFont="1" applyAlignment="1">
      <alignment horizontal="right"/>
    </xf>
    <xf numFmtId="0" fontId="59" fillId="0" borderId="0" xfId="25" applyFont="1" applyAlignment="1">
      <alignment horizontal="center"/>
    </xf>
    <xf numFmtId="0" fontId="59" fillId="0" borderId="0" xfId="25" applyFont="1"/>
    <xf numFmtId="0" fontId="59" fillId="0" borderId="0" xfId="25" applyFont="1" applyAlignment="1">
      <alignment horizontal="justify"/>
    </xf>
    <xf numFmtId="0" fontId="35" fillId="0" borderId="0" xfId="25" applyAlignment="1">
      <alignment horizontal="justify"/>
    </xf>
    <xf numFmtId="0" fontId="35" fillId="0" borderId="0" xfId="25" applyAlignment="1">
      <alignment horizontal="left"/>
    </xf>
    <xf numFmtId="1" fontId="63" fillId="0" borderId="0" xfId="25" applyNumberFormat="1" applyFont="1" applyAlignment="1">
      <alignment horizontal="left"/>
    </xf>
    <xf numFmtId="0" fontId="35" fillId="0" borderId="0" xfId="25" applyAlignment="1">
      <alignment horizontal="center"/>
    </xf>
    <xf numFmtId="0" fontId="35" fillId="0" borderId="50" xfId="25" applyBorder="1" applyAlignment="1">
      <alignment horizontal="center"/>
    </xf>
    <xf numFmtId="0" fontId="35" fillId="0" borderId="51" xfId="25" applyBorder="1" applyAlignment="1">
      <alignment horizontal="justify"/>
    </xf>
    <xf numFmtId="0" fontId="35" fillId="0" borderId="51" xfId="25" applyBorder="1" applyAlignment="1">
      <alignment horizontal="right"/>
    </xf>
    <xf numFmtId="0" fontId="35" fillId="0" borderId="52" xfId="25" applyBorder="1" applyAlignment="1">
      <alignment horizontal="center"/>
    </xf>
    <xf numFmtId="0" fontId="60" fillId="0" borderId="53" xfId="25" applyFont="1" applyBorder="1" applyAlignment="1">
      <alignment horizontal="right"/>
    </xf>
    <xf numFmtId="0" fontId="60" fillId="0" borderId="54" xfId="25" applyFont="1" applyBorder="1" applyAlignment="1">
      <alignment horizontal="justify"/>
    </xf>
    <xf numFmtId="0" fontId="60" fillId="0" borderId="54" xfId="25" applyFont="1" applyBorder="1" applyAlignment="1">
      <alignment horizontal="center"/>
    </xf>
    <xf numFmtId="0" fontId="60" fillId="0" borderId="55" xfId="25" applyFont="1" applyBorder="1" applyAlignment="1">
      <alignment horizontal="center"/>
    </xf>
    <xf numFmtId="0" fontId="62" fillId="0" borderId="0" xfId="25" applyFont="1" applyAlignment="1">
      <alignment horizontal="center"/>
    </xf>
    <xf numFmtId="0" fontId="62" fillId="0" borderId="0" xfId="25" applyFont="1" applyAlignment="1">
      <alignment horizontal="left"/>
    </xf>
    <xf numFmtId="0" fontId="35" fillId="0" borderId="0" xfId="25" applyAlignment="1">
      <alignment horizontal="right"/>
    </xf>
    <xf numFmtId="1" fontId="35" fillId="0" borderId="0" xfId="25" applyNumberFormat="1" applyAlignment="1">
      <alignment horizontal="left"/>
    </xf>
    <xf numFmtId="4" fontId="35" fillId="0" borderId="0" xfId="25" applyNumberFormat="1"/>
    <xf numFmtId="0" fontId="35" fillId="0" borderId="0" xfId="25" applyAlignment="1">
      <alignment horizontal="right" vertical="top"/>
    </xf>
    <xf numFmtId="0" fontId="62" fillId="0" borderId="56" xfId="25" applyFont="1" applyBorder="1" applyAlignment="1">
      <alignment vertical="center"/>
    </xf>
    <xf numFmtId="1" fontId="62" fillId="0" borderId="56" xfId="25" applyNumberFormat="1" applyFont="1" applyBorder="1" applyAlignment="1">
      <alignment horizontal="justify" vertical="center" wrapText="1"/>
    </xf>
    <xf numFmtId="4" fontId="62" fillId="0" borderId="56" xfId="25" applyNumberFormat="1" applyFont="1" applyBorder="1" applyAlignment="1">
      <alignment vertical="center"/>
    </xf>
    <xf numFmtId="4" fontId="35" fillId="0" borderId="0" xfId="25" applyNumberFormat="1" applyAlignment="1">
      <alignment horizontal="center"/>
    </xf>
    <xf numFmtId="1" fontId="35" fillId="0" borderId="0" xfId="25" applyNumberFormat="1"/>
    <xf numFmtId="4" fontId="35" fillId="0" borderId="0" xfId="25" applyNumberFormat="1" applyAlignment="1">
      <alignment horizontal="right"/>
    </xf>
    <xf numFmtId="0" fontId="62" fillId="0" borderId="0" xfId="25" applyFont="1" applyAlignment="1">
      <alignment horizontal="left" vertical="center" wrapText="1"/>
    </xf>
    <xf numFmtId="0" fontId="62" fillId="0" borderId="0" xfId="25" applyFont="1" applyAlignment="1">
      <alignment vertical="center"/>
    </xf>
    <xf numFmtId="1" fontId="62" fillId="0" borderId="0" xfId="25" applyNumberFormat="1" applyFont="1" applyAlignment="1">
      <alignment horizontal="justify" vertical="center" wrapText="1"/>
    </xf>
    <xf numFmtId="4" fontId="62" fillId="0" borderId="0" xfId="25" applyNumberFormat="1" applyFont="1" applyAlignment="1">
      <alignment vertical="center"/>
    </xf>
    <xf numFmtId="0" fontId="5" fillId="0" borderId="0" xfId="25" applyFont="1" applyAlignment="1">
      <alignment horizontal="right" vertical="top"/>
    </xf>
    <xf numFmtId="0" fontId="62" fillId="0" borderId="0" xfId="25" applyFont="1" applyAlignment="1">
      <alignment horizontal="justify" vertical="center" wrapText="1"/>
    </xf>
    <xf numFmtId="4" fontId="35" fillId="0" borderId="56" xfId="25" applyNumberFormat="1" applyBorder="1"/>
    <xf numFmtId="0" fontId="63" fillId="0" borderId="0" xfId="25" applyFont="1" applyAlignment="1">
      <alignment horizontal="center"/>
    </xf>
    <xf numFmtId="4" fontId="63" fillId="0" borderId="0" xfId="25" applyNumberFormat="1" applyFont="1"/>
    <xf numFmtId="0" fontId="59" fillId="0" borderId="0" xfId="25" applyFont="1" applyAlignment="1">
      <alignment horizontal="left"/>
    </xf>
    <xf numFmtId="0" fontId="63" fillId="0" borderId="45" xfId="25" applyFont="1" applyBorder="1"/>
    <xf numFmtId="4" fontId="69" fillId="0" borderId="45" xfId="25" applyNumberFormat="1" applyFont="1" applyBorder="1"/>
    <xf numFmtId="0" fontId="63" fillId="0" borderId="54" xfId="25" applyFont="1" applyBorder="1"/>
    <xf numFmtId="4" fontId="59" fillId="0" borderId="0" xfId="25" applyNumberFormat="1" applyFont="1"/>
    <xf numFmtId="164" fontId="59" fillId="0" borderId="0" xfId="26" applyFont="1" applyAlignment="1">
      <alignment horizontal="center"/>
    </xf>
    <xf numFmtId="0" fontId="35" fillId="0" borderId="58" xfId="25" applyBorder="1" applyAlignment="1">
      <alignment horizontal="justify"/>
    </xf>
    <xf numFmtId="164" fontId="59" fillId="0" borderId="58" xfId="26" applyFont="1" applyBorder="1" applyAlignment="1">
      <alignment horizontal="center"/>
    </xf>
    <xf numFmtId="0" fontId="0" fillId="0" borderId="59" xfId="0" applyBorder="1"/>
    <xf numFmtId="49" fontId="8" fillId="0" borderId="59" xfId="0" applyNumberFormat="1" applyFont="1" applyBorder="1" applyAlignment="1">
      <alignment horizontal="center" vertical="top"/>
    </xf>
    <xf numFmtId="0" fontId="8" fillId="0" borderId="59" xfId="0" applyFont="1" applyBorder="1" applyAlignment="1">
      <alignment horizontal="center"/>
    </xf>
    <xf numFmtId="2" fontId="8" fillId="0" borderId="59" xfId="0" applyNumberFormat="1" applyFont="1" applyBorder="1" applyAlignment="1">
      <alignment horizontal="center"/>
    </xf>
    <xf numFmtId="2" fontId="8" fillId="0" borderId="59" xfId="0" applyNumberFormat="1" applyFont="1" applyBorder="1"/>
    <xf numFmtId="167" fontId="8" fillId="0" borderId="59" xfId="0" applyNumberFormat="1" applyFont="1" applyBorder="1" applyAlignment="1">
      <alignment horizontal="center"/>
    </xf>
    <xf numFmtId="167" fontId="8" fillId="0" borderId="59" xfId="0" applyNumberFormat="1" applyFont="1" applyBorder="1" applyAlignment="1"/>
    <xf numFmtId="0" fontId="8" fillId="0" borderId="59" xfId="0" applyNumberFormat="1" applyFont="1" applyBorder="1" applyAlignment="1">
      <alignment horizontal="left" vertical="top" wrapText="1" shrinkToFit="1" readingOrder="1"/>
    </xf>
    <xf numFmtId="49" fontId="8" fillId="0" borderId="59" xfId="0" applyNumberFormat="1" applyFont="1" applyBorder="1" applyAlignment="1">
      <alignment horizontal="left" vertical="top" wrapText="1"/>
    </xf>
    <xf numFmtId="165" fontId="0" fillId="0" borderId="59" xfId="0" applyNumberFormat="1" applyBorder="1" applyAlignment="1" applyProtection="1">
      <alignment horizontal="right" indent="1"/>
      <protection locked="0"/>
    </xf>
    <xf numFmtId="165" fontId="0" fillId="0" borderId="59" xfId="0" applyNumberFormat="1" applyBorder="1" applyAlignment="1">
      <alignment horizontal="right" indent="1"/>
    </xf>
    <xf numFmtId="0" fontId="37" fillId="0" borderId="59" xfId="0" applyFont="1" applyBorder="1" applyAlignment="1">
      <alignment horizontal="left" vertical="top" wrapText="1"/>
    </xf>
    <xf numFmtId="49" fontId="37" fillId="0" borderId="59" xfId="0" applyNumberFormat="1" applyFont="1" applyBorder="1" applyAlignment="1">
      <alignment horizontal="center" vertical="center"/>
    </xf>
    <xf numFmtId="49" fontId="4" fillId="0" borderId="59" xfId="0" applyNumberFormat="1" applyFont="1" applyBorder="1" applyAlignment="1">
      <alignment horizontal="left" vertical="top"/>
    </xf>
    <xf numFmtId="0" fontId="4" fillId="0" borderId="59" xfId="0" applyFont="1" applyBorder="1" applyAlignment="1">
      <alignment horizontal="left" vertical="top" wrapText="1"/>
    </xf>
    <xf numFmtId="165" fontId="4" fillId="0" borderId="59" xfId="0" applyNumberFormat="1" applyFont="1" applyBorder="1" applyAlignment="1">
      <alignment horizontal="right" indent="1"/>
    </xf>
    <xf numFmtId="0" fontId="37" fillId="0" borderId="59" xfId="0" applyFont="1" applyBorder="1"/>
    <xf numFmtId="0" fontId="0" fillId="0" borderId="59" xfId="0" applyBorder="1" applyAlignment="1">
      <alignment horizontal="center" vertical="center"/>
    </xf>
    <xf numFmtId="49" fontId="4" fillId="0" borderId="1" xfId="0" applyNumberFormat="1" applyFont="1" applyBorder="1" applyAlignment="1">
      <alignment horizontal="center"/>
    </xf>
    <xf numFmtId="49" fontId="4" fillId="0" borderId="59" xfId="0" applyNumberFormat="1" applyFont="1" applyBorder="1" applyAlignment="1">
      <alignment horizontal="center"/>
    </xf>
    <xf numFmtId="49" fontId="37" fillId="0" borderId="59" xfId="0" applyNumberFormat="1" applyFont="1" applyBorder="1" applyAlignment="1">
      <alignment horizontal="center"/>
    </xf>
    <xf numFmtId="0" fontId="37" fillId="0" borderId="59" xfId="0" applyFont="1" applyBorder="1" applyAlignment="1">
      <alignment horizontal="center"/>
    </xf>
    <xf numFmtId="4" fontId="4" fillId="0" borderId="1" xfId="0" applyNumberFormat="1" applyFont="1" applyBorder="1" applyAlignment="1">
      <alignment horizontal="center" vertical="center"/>
    </xf>
    <xf numFmtId="4" fontId="4" fillId="0" borderId="59" xfId="0" applyNumberFormat="1" applyFont="1" applyBorder="1" applyAlignment="1">
      <alignment horizontal="center" vertical="center"/>
    </xf>
    <xf numFmtId="4" fontId="0" fillId="0" borderId="59" xfId="0" applyNumberFormat="1" applyFill="1" applyBorder="1" applyAlignment="1">
      <alignment horizontal="center" vertical="center"/>
    </xf>
    <xf numFmtId="0" fontId="0" fillId="0" borderId="0" xfId="0" applyAlignment="1">
      <alignment horizontal="center" vertical="center"/>
    </xf>
    <xf numFmtId="165" fontId="0" fillId="0" borderId="59" xfId="0" applyNumberFormat="1" applyFill="1" applyBorder="1" applyAlignment="1">
      <alignment horizontal="right" vertical="center" indent="1"/>
    </xf>
    <xf numFmtId="49" fontId="6" fillId="0" borderId="59" xfId="1" applyNumberFormat="1" applyFont="1" applyBorder="1" applyAlignment="1">
      <alignment horizontal="center" vertical="center"/>
    </xf>
    <xf numFmtId="49" fontId="17" fillId="0" borderId="59" xfId="1" applyNumberFormat="1" applyFont="1" applyBorder="1" applyAlignment="1">
      <alignment horizontal="left"/>
    </xf>
    <xf numFmtId="166" fontId="6" fillId="0" borderId="59" xfId="1" applyNumberFormat="1" applyFont="1" applyBorder="1" applyAlignment="1">
      <alignment horizontal="right" vertical="center" wrapText="1" indent="2"/>
    </xf>
    <xf numFmtId="4" fontId="6" fillId="0" borderId="59" xfId="1" applyNumberFormat="1" applyFont="1" applyBorder="1" applyAlignment="1">
      <alignment horizontal="right" vertical="center" indent="1"/>
    </xf>
    <xf numFmtId="0" fontId="8" fillId="0" borderId="0" xfId="0" applyNumberFormat="1" applyFont="1" applyAlignment="1">
      <alignment horizontal="left" vertical="top" wrapText="1"/>
    </xf>
    <xf numFmtId="49" fontId="8" fillId="0" borderId="0" xfId="0" quotePrefix="1" applyNumberFormat="1" applyFont="1" applyAlignment="1">
      <alignment vertical="top" wrapText="1"/>
    </xf>
    <xf numFmtId="49" fontId="78" fillId="0" borderId="0" xfId="0" applyNumberFormat="1" applyFont="1" applyBorder="1" applyAlignment="1">
      <alignment horizontal="left" vertical="top" wrapText="1"/>
    </xf>
    <xf numFmtId="0" fontId="8" fillId="0" borderId="58" xfId="0" applyFont="1" applyBorder="1" applyAlignment="1">
      <alignment horizontal="center"/>
    </xf>
    <xf numFmtId="2" fontId="8" fillId="0" borderId="58" xfId="0" applyNumberFormat="1" applyFont="1" applyBorder="1" applyAlignment="1">
      <alignment horizontal="center"/>
    </xf>
    <xf numFmtId="2" fontId="8" fillId="0" borderId="58" xfId="0" applyNumberFormat="1" applyFont="1" applyBorder="1"/>
    <xf numFmtId="4" fontId="8" fillId="0" borderId="58" xfId="0" applyNumberFormat="1" applyFont="1" applyBorder="1" applyAlignment="1">
      <alignment horizontal="center"/>
    </xf>
    <xf numFmtId="167" fontId="8" fillId="0" borderId="58" xfId="0" applyNumberFormat="1" applyFont="1" applyBorder="1" applyAlignment="1"/>
    <xf numFmtId="0" fontId="8" fillId="0" borderId="0" xfId="0" quotePrefix="1" applyNumberFormat="1" applyFont="1" applyAlignment="1">
      <alignment horizontal="left" vertical="justify" wrapText="1"/>
    </xf>
    <xf numFmtId="4" fontId="20" fillId="0" borderId="16" xfId="0" applyNumberFormat="1" applyFont="1" applyBorder="1" applyAlignment="1">
      <alignment horizontal="center"/>
    </xf>
    <xf numFmtId="49" fontId="9" fillId="0" borderId="60" xfId="0" applyNumberFormat="1" applyFont="1" applyBorder="1" applyAlignment="1">
      <alignment horizontal="left" vertical="top"/>
    </xf>
    <xf numFmtId="0" fontId="19" fillId="0" borderId="60" xfId="0" applyFont="1" applyBorder="1" applyAlignment="1">
      <alignment horizontal="center"/>
    </xf>
    <xf numFmtId="2" fontId="19" fillId="0" borderId="60" xfId="0" applyNumberFormat="1" applyFont="1" applyBorder="1" applyAlignment="1">
      <alignment horizontal="center"/>
    </xf>
    <xf numFmtId="2" fontId="19" fillId="0" borderId="60" xfId="0" applyNumberFormat="1" applyFont="1" applyBorder="1"/>
    <xf numFmtId="167" fontId="19" fillId="0" borderId="60" xfId="0" applyNumberFormat="1" applyFont="1" applyBorder="1" applyAlignment="1">
      <alignment horizontal="center"/>
    </xf>
    <xf numFmtId="167" fontId="19" fillId="0" borderId="60" xfId="0" applyNumberFormat="1" applyFont="1" applyBorder="1" applyAlignment="1"/>
    <xf numFmtId="167" fontId="8" fillId="0" borderId="60" xfId="0" applyNumberFormat="1" applyFont="1" applyBorder="1" applyAlignment="1">
      <alignment horizontal="center"/>
    </xf>
    <xf numFmtId="49" fontId="9" fillId="0" borderId="58" xfId="0" applyNumberFormat="1" applyFont="1" applyBorder="1" applyAlignment="1">
      <alignment horizontal="left" vertical="top"/>
    </xf>
    <xf numFmtId="0" fontId="19" fillId="0" borderId="58" xfId="0" applyFont="1" applyBorder="1" applyAlignment="1">
      <alignment horizontal="center"/>
    </xf>
    <xf numFmtId="2" fontId="19" fillId="0" borderId="58" xfId="0" applyNumberFormat="1" applyFont="1" applyBorder="1" applyAlignment="1">
      <alignment horizontal="center"/>
    </xf>
    <xf numFmtId="2" fontId="19" fillId="0" borderId="58" xfId="0" applyNumberFormat="1" applyFont="1" applyBorder="1"/>
    <xf numFmtId="167" fontId="19" fillId="0" borderId="58" xfId="0" applyNumberFormat="1" applyFont="1" applyBorder="1" applyAlignment="1">
      <alignment horizontal="center"/>
    </xf>
    <xf numFmtId="167" fontId="19" fillId="0" borderId="58" xfId="0" applyNumberFormat="1" applyFont="1" applyBorder="1" applyAlignment="1"/>
    <xf numFmtId="167" fontId="8" fillId="0" borderId="58" xfId="0" applyNumberFormat="1" applyFont="1" applyBorder="1" applyAlignment="1">
      <alignment horizontal="center"/>
    </xf>
    <xf numFmtId="4" fontId="7" fillId="0" borderId="0" xfId="1" applyNumberFormat="1" applyFont="1" applyBorder="1"/>
    <xf numFmtId="0" fontId="80" fillId="0" borderId="0" xfId="0" applyFont="1"/>
    <xf numFmtId="0" fontId="35" fillId="0" borderId="51" xfId="25" applyBorder="1" applyAlignment="1">
      <alignment horizontal="center"/>
    </xf>
    <xf numFmtId="0" fontId="81" fillId="0" borderId="0" xfId="25" applyFont="1" applyAlignment="1">
      <alignment horizontal="right"/>
    </xf>
    <xf numFmtId="0" fontId="81" fillId="0" borderId="0" xfId="25" applyFont="1"/>
    <xf numFmtId="175" fontId="82" fillId="0" borderId="0" xfId="25" applyNumberFormat="1" applyFont="1"/>
    <xf numFmtId="0" fontId="83" fillId="0" borderId="0" xfId="25" applyFont="1" applyAlignment="1">
      <alignment horizontal="center"/>
    </xf>
    <xf numFmtId="1" fontId="81" fillId="0" borderId="0" xfId="25" applyNumberFormat="1" applyFont="1" applyAlignment="1">
      <alignment horizontal="left"/>
    </xf>
    <xf numFmtId="4" fontId="81" fillId="0" borderId="0" xfId="25" applyNumberFormat="1" applyFont="1"/>
    <xf numFmtId="0" fontId="81" fillId="0" borderId="0" xfId="25" applyFont="1" applyAlignment="1">
      <alignment horizontal="center"/>
    </xf>
    <xf numFmtId="0" fontId="81" fillId="0" borderId="0" xfId="25" applyFont="1" applyAlignment="1">
      <alignment horizontal="justify"/>
    </xf>
    <xf numFmtId="0" fontId="83" fillId="0" borderId="0" xfId="25" applyFont="1" applyAlignment="1">
      <alignment horizontal="left"/>
    </xf>
    <xf numFmtId="9" fontId="81" fillId="0" borderId="0" xfId="25" applyNumberFormat="1" applyFont="1" applyAlignment="1">
      <alignment horizontal="center"/>
    </xf>
    <xf numFmtId="0" fontId="81" fillId="0" borderId="57" xfId="25" applyFont="1" applyBorder="1"/>
    <xf numFmtId="9" fontId="81" fillId="0" borderId="57" xfId="25" applyNumberFormat="1" applyFont="1" applyBorder="1" applyAlignment="1">
      <alignment horizontal="center"/>
    </xf>
    <xf numFmtId="0" fontId="83" fillId="0" borderId="57" xfId="25" applyFont="1" applyBorder="1" applyAlignment="1">
      <alignment horizontal="center"/>
    </xf>
    <xf numFmtId="0" fontId="38" fillId="0" borderId="0" xfId="0" applyFont="1" applyBorder="1" applyAlignment="1">
      <alignment wrapText="1"/>
    </xf>
    <xf numFmtId="0" fontId="0" fillId="0" borderId="0" xfId="0" applyBorder="1" applyAlignment="1">
      <alignment wrapText="1"/>
    </xf>
    <xf numFmtId="0" fontId="38" fillId="0" borderId="0" xfId="0" applyFont="1" applyBorder="1"/>
    <xf numFmtId="164" fontId="0" fillId="0" borderId="0" xfId="26" applyFont="1" applyBorder="1"/>
    <xf numFmtId="0" fontId="71" fillId="0" borderId="0" xfId="0" applyFont="1" applyBorder="1" applyAlignment="1">
      <alignment vertical="center" wrapText="1"/>
    </xf>
    <xf numFmtId="0" fontId="72" fillId="0" borderId="0" xfId="0" applyFont="1" applyBorder="1" applyAlignment="1">
      <alignment vertical="center" wrapText="1"/>
    </xf>
    <xf numFmtId="0" fontId="70" fillId="0" borderId="0" xfId="0" applyFont="1" applyBorder="1" applyAlignment="1">
      <alignment horizontal="right" vertical="center" wrapText="1"/>
    </xf>
    <xf numFmtId="0" fontId="80" fillId="0" borderId="0" xfId="0" applyFont="1" applyBorder="1" applyAlignment="1">
      <alignment horizontal="right" vertical="center" wrapText="1"/>
    </xf>
    <xf numFmtId="0" fontId="80" fillId="0" borderId="0" xfId="0" applyFont="1" applyBorder="1" applyAlignment="1">
      <alignment horizontal="right" vertical="center"/>
    </xf>
    <xf numFmtId="0" fontId="80" fillId="0" borderId="0" xfId="0" applyFont="1" applyBorder="1"/>
    <xf numFmtId="0" fontId="37" fillId="0" borderId="0" xfId="0" applyFont="1" applyBorder="1" applyAlignment="1">
      <alignment horizontal="right" vertical="center" wrapText="1"/>
    </xf>
    <xf numFmtId="0" fontId="37" fillId="0" borderId="0" xfId="0" applyFont="1" applyBorder="1" applyAlignment="1">
      <alignment horizontal="right" vertical="center"/>
    </xf>
    <xf numFmtId="0" fontId="73" fillId="0" borderId="0" xfId="0" applyFont="1" applyBorder="1" applyAlignment="1">
      <alignment vertical="center" wrapText="1"/>
    </xf>
    <xf numFmtId="0" fontId="37" fillId="0" borderId="0" xfId="0" applyFont="1" applyBorder="1" applyAlignment="1">
      <alignment horizontal="left" vertical="center" wrapText="1"/>
    </xf>
    <xf numFmtId="0" fontId="73" fillId="0" borderId="0" xfId="0" applyFont="1" applyBorder="1" applyAlignment="1">
      <alignment horizontal="left" vertical="center" wrapText="1"/>
    </xf>
    <xf numFmtId="0" fontId="37" fillId="0" borderId="0" xfId="0" applyFont="1" applyBorder="1" applyAlignment="1">
      <alignment vertical="center" wrapText="1"/>
    </xf>
    <xf numFmtId="0" fontId="37" fillId="0" borderId="0" xfId="0" applyFont="1" applyBorder="1" applyAlignment="1">
      <alignment horizontal="left" vertical="center" indent="15"/>
    </xf>
    <xf numFmtId="0" fontId="73" fillId="0" borderId="0" xfId="0" applyFont="1" applyBorder="1" applyAlignment="1">
      <alignment horizontal="justify" vertical="center" wrapText="1"/>
    </xf>
    <xf numFmtId="0" fontId="37" fillId="0" borderId="0" xfId="0" applyFont="1" applyBorder="1" applyAlignment="1">
      <alignment horizontal="center" vertical="center" wrapText="1"/>
    </xf>
    <xf numFmtId="0" fontId="37" fillId="0" borderId="0" xfId="0" applyFont="1" applyBorder="1" applyAlignment="1">
      <alignment horizontal="center" vertical="center"/>
    </xf>
    <xf numFmtId="0" fontId="70" fillId="0" borderId="0" xfId="0" applyFont="1" applyBorder="1" applyAlignment="1">
      <alignment horizontal="left" vertical="center" wrapText="1"/>
    </xf>
    <xf numFmtId="0" fontId="75" fillId="0" borderId="0" xfId="0" applyFont="1" applyBorder="1" applyAlignment="1">
      <alignment vertical="center" wrapText="1"/>
    </xf>
    <xf numFmtId="0" fontId="76" fillId="0" borderId="0" xfId="0" applyFont="1" applyBorder="1" applyAlignment="1">
      <alignment vertical="center" wrapText="1"/>
    </xf>
    <xf numFmtId="0" fontId="0" fillId="0" borderId="61" xfId="0" applyBorder="1"/>
    <xf numFmtId="0" fontId="0" fillId="0" borderId="0" xfId="0" applyBorder="1" applyAlignment="1">
      <alignment horizontal="center"/>
    </xf>
    <xf numFmtId="0" fontId="0" fillId="0" borderId="10" xfId="0" applyBorder="1"/>
    <xf numFmtId="4" fontId="0" fillId="0" borderId="0" xfId="0" applyNumberFormat="1" applyBorder="1"/>
    <xf numFmtId="4" fontId="80" fillId="0" borderId="0" xfId="0" applyNumberFormat="1" applyFont="1" applyBorder="1"/>
    <xf numFmtId="4" fontId="0" fillId="0" borderId="0" xfId="0" applyNumberFormat="1" applyBorder="1" applyAlignment="1">
      <alignment horizontal="center"/>
    </xf>
    <xf numFmtId="4" fontId="37" fillId="0" borderId="0" xfId="0" applyNumberFormat="1" applyFont="1" applyBorder="1" applyAlignment="1">
      <alignment horizontal="center" vertical="center"/>
    </xf>
    <xf numFmtId="0" fontId="37" fillId="0" borderId="0" xfId="0" applyFont="1" applyBorder="1" applyAlignment="1">
      <alignment horizontal="center"/>
    </xf>
    <xf numFmtId="0" fontId="80" fillId="0" borderId="0" xfId="0" applyFont="1" applyBorder="1" applyAlignment="1">
      <alignment horizontal="center"/>
    </xf>
    <xf numFmtId="4" fontId="80" fillId="0" borderId="0" xfId="0" applyNumberFormat="1" applyFont="1" applyBorder="1" applyAlignment="1">
      <alignment horizontal="center"/>
    </xf>
    <xf numFmtId="0" fontId="5" fillId="0" borderId="0" xfId="0" applyFont="1" applyBorder="1" applyAlignment="1">
      <alignment horizontal="center"/>
    </xf>
    <xf numFmtId="164" fontId="4" fillId="0" borderId="0" xfId="26" applyFont="1" applyBorder="1"/>
    <xf numFmtId="0" fontId="79" fillId="0" borderId="0" xfId="0" applyFont="1" applyBorder="1" applyAlignment="1">
      <alignment horizontal="center"/>
    </xf>
    <xf numFmtId="2" fontId="79" fillId="0" borderId="0" xfId="0" applyNumberFormat="1" applyFont="1" applyBorder="1"/>
    <xf numFmtId="2" fontId="79" fillId="0" borderId="0" xfId="0" applyNumberFormat="1" applyFont="1" applyBorder="1" applyAlignment="1">
      <alignment horizontal="center"/>
    </xf>
    <xf numFmtId="4" fontId="79" fillId="0" borderId="0" xfId="0" applyNumberFormat="1" applyFont="1" applyFill="1" applyBorder="1" applyAlignment="1">
      <alignment horizontal="center"/>
    </xf>
    <xf numFmtId="167" fontId="79" fillId="0" borderId="0" xfId="0" applyNumberFormat="1" applyFont="1" applyBorder="1" applyAlignment="1"/>
    <xf numFmtId="4" fontId="79" fillId="0" borderId="0" xfId="0" applyNumberFormat="1" applyFont="1" applyBorder="1" applyAlignment="1">
      <alignment horizontal="center"/>
    </xf>
    <xf numFmtId="2" fontId="8" fillId="0" borderId="0" xfId="0" applyNumberFormat="1" applyFont="1" applyBorder="1" applyAlignment="1">
      <alignment horizontal="center" wrapText="1"/>
    </xf>
    <xf numFmtId="2" fontId="8" fillId="0" borderId="58" xfId="0" applyNumberFormat="1" applyFont="1" applyFill="1" applyBorder="1" applyAlignment="1">
      <alignment horizontal="center"/>
    </xf>
    <xf numFmtId="2" fontId="8" fillId="0" borderId="58" xfId="0" applyNumberFormat="1" applyFont="1" applyFill="1" applyBorder="1"/>
    <xf numFmtId="4" fontId="8" fillId="0" borderId="58" xfId="0" applyNumberFormat="1" applyFont="1" applyFill="1" applyBorder="1" applyAlignment="1">
      <alignment horizontal="center"/>
    </xf>
    <xf numFmtId="2" fontId="22" fillId="0" borderId="0" xfId="0" applyNumberFormat="1" applyFont="1" applyFill="1" applyBorder="1" applyAlignment="1">
      <alignment horizontal="center"/>
    </xf>
    <xf numFmtId="172" fontId="85" fillId="0" borderId="0" xfId="27" applyNumberFormat="1" applyFont="1" applyAlignment="1">
      <alignment horizontal="right" vertical="center"/>
    </xf>
    <xf numFmtId="0" fontId="42" fillId="0" borderId="0" xfId="27" applyFont="1" applyAlignment="1"/>
    <xf numFmtId="0" fontId="42" fillId="0" borderId="0" xfId="27" applyFont="1" applyFill="1" applyAlignment="1"/>
    <xf numFmtId="0" fontId="42" fillId="0" borderId="0" xfId="27" applyFont="1" applyAlignment="1">
      <alignment horizontal="center"/>
    </xf>
    <xf numFmtId="172" fontId="42" fillId="0" borderId="0" xfId="27" applyNumberFormat="1" applyFont="1" applyAlignment="1"/>
    <xf numFmtId="0" fontId="50" fillId="0" borderId="0" xfId="27" applyFont="1" applyAlignment="1">
      <alignment horizontal="center"/>
    </xf>
    <xf numFmtId="4" fontId="0" fillId="0" borderId="59" xfId="0" applyNumberFormat="1" applyFill="1" applyBorder="1" applyAlignment="1">
      <alignment horizontal="center"/>
    </xf>
    <xf numFmtId="165" fontId="0" fillId="0" borderId="59" xfId="0" applyNumberFormat="1" applyFill="1" applyBorder="1" applyAlignment="1">
      <alignment horizontal="right" indent="1"/>
    </xf>
    <xf numFmtId="174" fontId="86" fillId="0" borderId="0" xfId="29" applyFont="1"/>
    <xf numFmtId="174" fontId="62" fillId="0" borderId="0" xfId="29" applyFont="1" applyAlignment="1">
      <alignment horizontal="left"/>
    </xf>
    <xf numFmtId="0" fontId="8" fillId="0" borderId="62" xfId="0" applyFont="1" applyBorder="1" applyAlignment="1">
      <alignment wrapText="1"/>
    </xf>
    <xf numFmtId="2" fontId="8" fillId="0" borderId="62" xfId="0" applyNumberFormat="1" applyFont="1" applyBorder="1" applyAlignment="1">
      <alignment horizontal="center"/>
    </xf>
    <xf numFmtId="2" fontId="8" fillId="0" borderId="62" xfId="0" applyNumberFormat="1" applyFont="1" applyBorder="1"/>
    <xf numFmtId="167" fontId="8" fillId="0" borderId="62" xfId="0" applyNumberFormat="1" applyFont="1" applyBorder="1" applyAlignment="1">
      <alignment horizontal="center"/>
    </xf>
    <xf numFmtId="167" fontId="8" fillId="0" borderId="62" xfId="0" applyNumberFormat="1" applyFont="1" applyBorder="1" applyAlignment="1"/>
    <xf numFmtId="4" fontId="8" fillId="0" borderId="62" xfId="0" applyNumberFormat="1" applyFont="1" applyBorder="1" applyAlignment="1">
      <alignment horizontal="center"/>
    </xf>
    <xf numFmtId="49" fontId="7" fillId="0" borderId="63" xfId="1" applyNumberFormat="1" applyFont="1" applyBorder="1" applyAlignment="1">
      <alignment horizontal="left" vertical="center" indent="1"/>
    </xf>
    <xf numFmtId="0" fontId="87" fillId="0" borderId="0" xfId="0" applyFont="1"/>
    <xf numFmtId="49" fontId="0" fillId="0" borderId="59" xfId="0" applyNumberFormat="1" applyBorder="1" applyAlignment="1">
      <alignment horizontal="left" vertical="top"/>
    </xf>
    <xf numFmtId="0" fontId="5" fillId="0" borderId="59" xfId="0" applyFont="1" applyBorder="1" applyAlignment="1">
      <alignment horizontal="left" vertical="top" wrapText="1"/>
    </xf>
    <xf numFmtId="0" fontId="9" fillId="0" borderId="0" xfId="2" applyFont="1" applyAlignment="1">
      <alignment horizontal="center"/>
    </xf>
    <xf numFmtId="0" fontId="13" fillId="0" borderId="0" xfId="2" applyFont="1" applyAlignment="1">
      <alignment horizontal="center"/>
    </xf>
    <xf numFmtId="0" fontId="8" fillId="0" borderId="0" xfId="2" applyFont="1" applyAlignment="1">
      <alignment horizontal="center"/>
    </xf>
    <xf numFmtId="0" fontId="10" fillId="0" borderId="0" xfId="2" applyFont="1" applyAlignment="1">
      <alignment horizontal="center" wrapText="1"/>
    </xf>
    <xf numFmtId="0" fontId="10" fillId="0" borderId="0" xfId="2" applyFont="1" applyAlignment="1">
      <alignment horizontal="center"/>
    </xf>
    <xf numFmtId="0" fontId="9" fillId="0" borderId="0" xfId="2" applyFont="1" applyAlignment="1">
      <alignment horizontal="center" wrapText="1"/>
    </xf>
    <xf numFmtId="0" fontId="12" fillId="0" borderId="0" xfId="2" applyFont="1" applyAlignment="1">
      <alignment horizontal="center" wrapText="1"/>
    </xf>
    <xf numFmtId="0" fontId="11" fillId="0" borderId="0" xfId="2" applyFont="1" applyAlignment="1">
      <alignment horizontal="center" wrapText="1"/>
    </xf>
    <xf numFmtId="0" fontId="11" fillId="0" borderId="0" xfId="2" applyFont="1" applyAlignment="1">
      <alignment horizontal="center"/>
    </xf>
    <xf numFmtId="0" fontId="12" fillId="0" borderId="0" xfId="2" applyFont="1" applyAlignment="1">
      <alignment horizontal="center"/>
    </xf>
    <xf numFmtId="0" fontId="39" fillId="0" borderId="0" xfId="2" applyFont="1" applyAlignment="1">
      <alignment horizontal="center"/>
    </xf>
    <xf numFmtId="0" fontId="4" fillId="0" borderId="14" xfId="0" applyFont="1" applyFill="1" applyBorder="1" applyAlignment="1">
      <alignment horizontal="left" vertical="top" wrapText="1"/>
    </xf>
    <xf numFmtId="0" fontId="4" fillId="0" borderId="12" xfId="0" applyFont="1" applyFill="1" applyBorder="1" applyAlignment="1">
      <alignment horizontal="left" vertical="top" wrapText="1"/>
    </xf>
    <xf numFmtId="0" fontId="15" fillId="0" borderId="0" xfId="0" applyFont="1" applyAlignment="1">
      <alignment horizontal="left" vertical="center" wrapText="1"/>
    </xf>
    <xf numFmtId="0" fontId="35" fillId="0" borderId="0" xfId="25" applyAlignment="1">
      <alignment horizontal="justify"/>
    </xf>
    <xf numFmtId="0" fontId="59" fillId="0" borderId="0" xfId="25" applyFont="1" applyAlignment="1">
      <alignment horizontal="center"/>
    </xf>
    <xf numFmtId="0" fontId="59" fillId="0" borderId="0" xfId="25" applyFont="1" applyAlignment="1">
      <alignment horizontal="justify"/>
    </xf>
    <xf numFmtId="0" fontId="59" fillId="0" borderId="0" xfId="25" applyFont="1" applyAlignment="1">
      <alignment horizontal="left" wrapText="1"/>
    </xf>
    <xf numFmtId="0" fontId="62" fillId="0" borderId="0" xfId="25" applyFont="1" applyAlignment="1">
      <alignment horizontal="left"/>
    </xf>
    <xf numFmtId="0" fontId="62" fillId="0" borderId="56" xfId="25" applyFont="1" applyBorder="1" applyAlignment="1">
      <alignment horizontal="left" vertical="center" wrapText="1"/>
    </xf>
    <xf numFmtId="0" fontId="35" fillId="0" borderId="0" xfId="25" applyAlignment="1">
      <alignment horizontal="left"/>
    </xf>
    <xf numFmtId="0" fontId="25" fillId="0" borderId="0" xfId="25" applyFont="1" applyAlignment="1">
      <alignment horizontal="justify"/>
    </xf>
    <xf numFmtId="0" fontId="35" fillId="0" borderId="0" xfId="25" applyAlignment="1">
      <alignment horizontal="justify" wrapText="1"/>
    </xf>
    <xf numFmtId="0" fontId="81" fillId="0" borderId="0" xfId="25" applyFont="1" applyAlignment="1">
      <alignment horizontal="justify"/>
    </xf>
    <xf numFmtId="0" fontId="59" fillId="0" borderId="0" xfId="25" applyFont="1" applyAlignment="1">
      <alignment horizontal="left"/>
    </xf>
    <xf numFmtId="0" fontId="62" fillId="0" borderId="56" xfId="25" applyFont="1" applyBorder="1" applyAlignment="1">
      <alignment horizontal="justify" vertical="center" wrapText="1"/>
    </xf>
    <xf numFmtId="0" fontId="68" fillId="0" borderId="0" xfId="25" applyFont="1" applyAlignment="1">
      <alignment horizontal="center"/>
    </xf>
    <xf numFmtId="4" fontId="80" fillId="0" borderId="7" xfId="0" applyNumberFormat="1" applyFont="1" applyBorder="1" applyAlignment="1">
      <alignment horizontal="center"/>
    </xf>
    <xf numFmtId="4" fontId="0" fillId="0" borderId="7" xfId="0" applyNumberFormat="1" applyBorder="1" applyAlignment="1">
      <alignment horizontal="center"/>
    </xf>
    <xf numFmtId="4" fontId="0" fillId="0" borderId="64" xfId="0" applyNumberFormat="1" applyBorder="1" applyAlignment="1">
      <alignment horizontal="center"/>
    </xf>
    <xf numFmtId="4" fontId="4" fillId="0" borderId="64" xfId="0" applyNumberFormat="1" applyFont="1" applyBorder="1" applyAlignment="1">
      <alignment horizontal="center"/>
    </xf>
    <xf numFmtId="0" fontId="4" fillId="0" borderId="65" xfId="0" applyFont="1" applyBorder="1" applyAlignment="1">
      <alignment vertical="center" wrapText="1"/>
    </xf>
    <xf numFmtId="0" fontId="0" fillId="0" borderId="64" xfId="0" applyBorder="1"/>
    <xf numFmtId="0" fontId="0" fillId="0" borderId="64" xfId="0" applyBorder="1" applyAlignment="1">
      <alignment horizontal="center"/>
    </xf>
    <xf numFmtId="4" fontId="0" fillId="0" borderId="64" xfId="0" applyNumberFormat="1" applyBorder="1"/>
    <xf numFmtId="4" fontId="4" fillId="0" borderId="66" xfId="0" applyNumberFormat="1" applyFont="1" applyBorder="1"/>
    <xf numFmtId="0" fontId="84" fillId="0" borderId="65" xfId="0" applyFont="1" applyBorder="1" applyAlignment="1">
      <alignment horizontal="justify" vertical="center" wrapText="1"/>
    </xf>
    <xf numFmtId="0" fontId="4" fillId="0" borderId="64" xfId="0" applyFont="1" applyBorder="1"/>
    <xf numFmtId="0" fontId="4" fillId="0" borderId="64" xfId="0" applyFont="1" applyBorder="1" applyAlignment="1">
      <alignment horizontal="center"/>
    </xf>
    <xf numFmtId="4" fontId="4" fillId="0" borderId="64" xfId="0" applyNumberFormat="1" applyFont="1" applyBorder="1"/>
    <xf numFmtId="176" fontId="35" fillId="0" borderId="7" xfId="30" applyFont="1" applyBorder="1"/>
    <xf numFmtId="176" fontId="64" fillId="0" borderId="7" xfId="30" applyFont="1" applyBorder="1"/>
    <xf numFmtId="176" fontId="35" fillId="0" borderId="0" xfId="30" applyFont="1" applyBorder="1"/>
  </cellXfs>
  <cellStyles count="31">
    <cellStyle name="Comma 2" xfId="30"/>
    <cellStyle name="Hiperpovezava" xfId="9" builtinId="8" hidden="1"/>
    <cellStyle name="Hiperpovezava" xfId="11" builtinId="8" hidden="1"/>
    <cellStyle name="Hiperpovezava" xfId="13" builtinId="8" hidden="1"/>
    <cellStyle name="Hiperpovezava" xfId="15" builtinId="8" hidden="1"/>
    <cellStyle name="Hiperpovezava" xfId="17" builtinId="8" hidden="1"/>
    <cellStyle name="Hiperpovezava" xfId="19" builtinId="8" hidden="1"/>
    <cellStyle name="Hiperpovezava" xfId="21" builtinId="8" hidden="1"/>
    <cellStyle name="Hiperpovezava" xfId="23" builtinId="8" hidden="1"/>
    <cellStyle name="Navadno" xfId="0" builtinId="0"/>
    <cellStyle name="Navadno 2" xfId="1"/>
    <cellStyle name="Navadno 2 2" xfId="2"/>
    <cellStyle name="Navadno 3" xfId="3"/>
    <cellStyle name="Normal 2" xfId="4"/>
    <cellStyle name="Normal 3" xfId="25"/>
    <cellStyle name="Normal 4" xfId="27"/>
    <cellStyle name="Normal 5" xfId="29"/>
    <cellStyle name="Normal_I-BREZOV" xfId="28"/>
    <cellStyle name="Obiskana hiperpovezava" xfId="10" builtinId="9" hidden="1"/>
    <cellStyle name="Obiskana hiperpovezava" xfId="12" builtinId="9" hidden="1"/>
    <cellStyle name="Obiskana hiperpovezava" xfId="14" builtinId="9" hidden="1"/>
    <cellStyle name="Obiskana hiperpovezava" xfId="16" builtinId="9" hidden="1"/>
    <cellStyle name="Obiskana hiperpovezava" xfId="18" builtinId="9" hidden="1"/>
    <cellStyle name="Obiskana hiperpovezava" xfId="20" builtinId="9" hidden="1"/>
    <cellStyle name="Obiskana hiperpovezava" xfId="22" builtinId="9" hidden="1"/>
    <cellStyle name="Obiskana hiperpovezava" xfId="24" builtinId="9" hidden="1"/>
    <cellStyle name="Odstotek 2" xfId="6"/>
    <cellStyle name="Pomoc" xfId="5"/>
    <cellStyle name="Rekapitulacija" xfId="7"/>
    <cellStyle name="Slog 1" xfId="8"/>
    <cellStyle name="Valuta" xfId="26" builtinId="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8</xdr:col>
      <xdr:colOff>552450</xdr:colOff>
      <xdr:row>47</xdr:row>
      <xdr:rowOff>9525</xdr:rowOff>
    </xdr:from>
    <xdr:to>
      <xdr:col>8</xdr:col>
      <xdr:colOff>600075</xdr:colOff>
      <xdr:row>47</xdr:row>
      <xdr:rowOff>152400</xdr:rowOff>
    </xdr:to>
    <xdr:sp macro="" textlink="">
      <xdr:nvSpPr>
        <xdr:cNvPr id="52227" name="Shape 75">
          <a:extLst>
            <a:ext uri="{FF2B5EF4-FFF2-40B4-BE49-F238E27FC236}">
              <a16:creationId xmlns:a16="http://schemas.microsoft.com/office/drawing/2014/main" xmlns="" id="{B2D7D4AF-4FD9-4B50-B671-9757729026F8}"/>
            </a:ext>
          </a:extLst>
        </xdr:cNvPr>
        <xdr:cNvSpPr txBox="1">
          <a:spLocks noChangeArrowheads="1"/>
        </xdr:cNvSpPr>
      </xdr:nvSpPr>
      <xdr:spPr bwMode="auto">
        <a:xfrm>
          <a:off x="5429250" y="8229600"/>
          <a:ext cx="476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sl-SI" sz="1000" b="0" i="0" u="none" strike="noStrike" baseline="0">
              <a:solidFill>
                <a:srgbClr val="000000"/>
              </a:solidFill>
              <a:latin typeface="Times New Roman"/>
              <a:cs typeface="Times New Roman"/>
            </a:rPr>
            <a:t> </a:t>
          </a:r>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K640"/>
  <sheetViews>
    <sheetView view="pageBreakPreview" zoomScaleSheetLayoutView="100" workbookViewId="0">
      <selection activeCell="A17" sqref="A17:I17"/>
    </sheetView>
  </sheetViews>
  <sheetFormatPr defaultColWidth="8.7109375" defaultRowHeight="12.75"/>
  <cols>
    <col min="1" max="1" width="12.7109375" style="36" customWidth="1"/>
    <col min="2" max="2" width="8.42578125" style="36" customWidth="1"/>
    <col min="3" max="3" width="5.28515625" style="36" hidden="1" customWidth="1"/>
    <col min="4" max="7" width="8.7109375" style="36"/>
    <col min="8" max="8" width="14" style="36" customWidth="1"/>
    <col min="9" max="9" width="12.7109375" style="36" customWidth="1"/>
    <col min="10" max="16384" width="8.7109375" style="36"/>
  </cols>
  <sheetData>
    <row r="12" spans="1:9" ht="26.25">
      <c r="A12" s="736" t="s">
        <v>167</v>
      </c>
      <c r="B12" s="736"/>
      <c r="C12" s="736"/>
      <c r="D12" s="736"/>
      <c r="E12" s="736"/>
      <c r="F12" s="736"/>
      <c r="G12" s="736"/>
      <c r="H12" s="736"/>
      <c r="I12" s="736"/>
    </row>
    <row r="13" spans="1:9" ht="18" customHeight="1">
      <c r="A13" s="745"/>
      <c r="B13" s="745"/>
      <c r="C13" s="745"/>
      <c r="D13" s="745"/>
      <c r="E13" s="745"/>
      <c r="F13" s="745"/>
      <c r="G13" s="745"/>
      <c r="H13" s="745"/>
      <c r="I13" s="745"/>
    </row>
    <row r="14" spans="1:9">
      <c r="A14" s="737"/>
      <c r="B14" s="737"/>
      <c r="C14" s="737"/>
      <c r="D14" s="737"/>
      <c r="E14" s="737"/>
      <c r="F14" s="737"/>
      <c r="G14" s="737"/>
      <c r="H14" s="737"/>
      <c r="I14" s="737"/>
    </row>
    <row r="15" spans="1:9">
      <c r="A15" s="49"/>
      <c r="B15" s="49"/>
      <c r="C15" s="49"/>
      <c r="D15" s="49"/>
      <c r="E15" s="49"/>
      <c r="F15" s="49"/>
      <c r="G15" s="49"/>
      <c r="H15" s="49"/>
      <c r="I15" s="49"/>
    </row>
    <row r="16" spans="1:9">
      <c r="A16" s="49"/>
      <c r="B16" s="49"/>
      <c r="C16" s="49"/>
      <c r="D16" s="49"/>
      <c r="E16" s="49"/>
      <c r="F16" s="49"/>
      <c r="G16" s="49"/>
      <c r="H16" s="49"/>
      <c r="I16" s="49"/>
    </row>
    <row r="17" spans="1:11" ht="66" customHeight="1">
      <c r="A17" s="738" t="s">
        <v>337</v>
      </c>
      <c r="B17" s="739"/>
      <c r="C17" s="739"/>
      <c r="D17" s="739"/>
      <c r="E17" s="739"/>
      <c r="F17" s="739"/>
      <c r="G17" s="739"/>
      <c r="H17" s="739"/>
      <c r="I17" s="739"/>
      <c r="J17" s="47"/>
      <c r="K17" s="47"/>
    </row>
    <row r="18" spans="1:11" ht="18">
      <c r="A18" s="740"/>
      <c r="B18" s="741"/>
      <c r="C18" s="742"/>
      <c r="D18" s="742"/>
      <c r="E18" s="742"/>
      <c r="F18" s="742"/>
      <c r="G18" s="742"/>
      <c r="H18" s="742"/>
      <c r="I18" s="742"/>
      <c r="J18" s="47"/>
      <c r="K18" s="47"/>
    </row>
    <row r="19" spans="1:11" ht="18">
      <c r="A19" s="743" t="s">
        <v>44</v>
      </c>
      <c r="B19" s="744"/>
      <c r="C19" s="743"/>
      <c r="D19" s="743"/>
      <c r="E19" s="743"/>
      <c r="F19" s="743"/>
      <c r="G19" s="743"/>
      <c r="H19" s="743"/>
      <c r="I19" s="743"/>
      <c r="J19" s="47"/>
      <c r="K19" s="47"/>
    </row>
    <row r="20" spans="1:11" ht="18" customHeight="1">
      <c r="A20" s="48"/>
      <c r="B20" s="48"/>
      <c r="C20" s="48"/>
      <c r="D20" s="48"/>
      <c r="E20" s="48"/>
      <c r="F20" s="48"/>
      <c r="G20" s="48"/>
      <c r="H20" s="48"/>
      <c r="I20" s="48"/>
      <c r="J20" s="47"/>
      <c r="K20" s="47"/>
    </row>
    <row r="21" spans="1:11" ht="15.75">
      <c r="A21" s="735"/>
      <c r="B21" s="735"/>
      <c r="C21" s="735"/>
      <c r="D21" s="735"/>
      <c r="E21" s="735"/>
      <c r="F21" s="735"/>
      <c r="G21" s="735"/>
      <c r="H21" s="735"/>
      <c r="I21" s="735"/>
    </row>
    <row r="22" spans="1:11" ht="15.75">
      <c r="A22" s="735"/>
      <c r="B22" s="735"/>
      <c r="C22" s="735"/>
      <c r="D22" s="735"/>
      <c r="E22" s="735"/>
      <c r="F22" s="735"/>
      <c r="G22" s="735"/>
      <c r="H22" s="735"/>
      <c r="I22" s="735"/>
    </row>
    <row r="26" spans="1:11">
      <c r="A26" s="36" t="s">
        <v>166</v>
      </c>
    </row>
    <row r="34" spans="2:10">
      <c r="B34" s="46"/>
      <c r="C34" s="46"/>
      <c r="D34" s="46"/>
      <c r="E34" s="46"/>
      <c r="F34" s="46"/>
      <c r="G34" s="46"/>
      <c r="H34" s="46"/>
      <c r="I34" s="46"/>
      <c r="J34" s="46"/>
    </row>
    <row r="35" spans="2:10">
      <c r="B35" s="46"/>
      <c r="C35" s="46"/>
      <c r="D35" s="46"/>
      <c r="E35" s="46"/>
      <c r="F35" s="46"/>
      <c r="G35" s="46"/>
      <c r="H35" s="46"/>
      <c r="I35" s="46"/>
      <c r="J35" s="46"/>
    </row>
    <row r="36" spans="2:10">
      <c r="B36" s="46"/>
      <c r="C36" s="46"/>
      <c r="D36" s="46"/>
      <c r="E36" s="46"/>
      <c r="F36" s="46"/>
      <c r="G36" s="46"/>
      <c r="H36" s="46"/>
      <c r="I36" s="46"/>
      <c r="J36" s="46"/>
    </row>
    <row r="37" spans="2:10">
      <c r="B37" s="46"/>
      <c r="C37" s="46"/>
      <c r="D37" s="46"/>
      <c r="E37" s="46"/>
      <c r="F37" s="46"/>
      <c r="G37" s="46"/>
      <c r="H37" s="46"/>
      <c r="I37" s="46"/>
      <c r="J37" s="46"/>
    </row>
    <row r="38" spans="2:10">
      <c r="B38" s="46"/>
      <c r="C38" s="46"/>
      <c r="D38" s="46"/>
      <c r="E38" s="46"/>
      <c r="F38" s="46"/>
      <c r="G38" s="46"/>
      <c r="H38" s="46"/>
      <c r="I38" s="46"/>
      <c r="J38" s="46"/>
    </row>
    <row r="39" spans="2:10">
      <c r="B39" s="46"/>
      <c r="C39" s="46"/>
      <c r="D39" s="46"/>
      <c r="E39" s="46"/>
      <c r="F39" s="46"/>
      <c r="G39" s="46"/>
      <c r="H39" s="46"/>
      <c r="I39" s="46"/>
      <c r="J39" s="46"/>
    </row>
    <row r="40" spans="2:10">
      <c r="B40" s="46"/>
      <c r="C40" s="46"/>
      <c r="D40" s="46"/>
      <c r="E40" s="46"/>
      <c r="F40" s="46"/>
      <c r="G40" s="46"/>
      <c r="H40" s="46"/>
      <c r="I40" s="46"/>
      <c r="J40" s="46"/>
    </row>
    <row r="41" spans="2:10">
      <c r="B41" s="46"/>
      <c r="C41" s="46"/>
      <c r="D41" s="46"/>
      <c r="E41" s="46"/>
      <c r="F41" s="46"/>
      <c r="G41" s="46"/>
      <c r="H41" s="46"/>
      <c r="I41" s="46"/>
      <c r="J41" s="46"/>
    </row>
    <row r="42" spans="2:10">
      <c r="B42" s="46"/>
      <c r="C42" s="46"/>
      <c r="D42" s="46"/>
      <c r="E42" s="46"/>
      <c r="F42" s="46"/>
      <c r="G42" s="46"/>
      <c r="H42" s="46"/>
      <c r="I42" s="46"/>
      <c r="J42" s="46"/>
    </row>
    <row r="43" spans="2:10">
      <c r="B43" s="46"/>
      <c r="C43" s="46"/>
      <c r="D43" s="46"/>
      <c r="E43" s="46"/>
      <c r="F43" s="46"/>
      <c r="G43" s="46"/>
      <c r="H43" s="46"/>
      <c r="I43" s="46"/>
      <c r="J43" s="46"/>
    </row>
    <row r="44" spans="2:10">
      <c r="B44" s="46"/>
      <c r="C44" s="46"/>
      <c r="D44" s="46"/>
      <c r="E44" s="46"/>
      <c r="F44" s="46"/>
      <c r="G44" s="46"/>
      <c r="H44" s="46"/>
      <c r="I44" s="46"/>
      <c r="J44" s="46"/>
    </row>
    <row r="48" spans="2:10">
      <c r="G48" s="36" t="s">
        <v>207</v>
      </c>
      <c r="H48" s="36" t="s">
        <v>208</v>
      </c>
    </row>
    <row r="50" spans="7:7">
      <c r="G50" s="328" t="s">
        <v>209</v>
      </c>
    </row>
    <row r="51" spans="7:7">
      <c r="G51" s="36" t="s">
        <v>210</v>
      </c>
    </row>
    <row r="52" spans="7:7">
      <c r="G52" s="36" t="s">
        <v>211</v>
      </c>
    </row>
    <row r="170" spans="5:9">
      <c r="E170" s="45"/>
      <c r="F170" s="44"/>
      <c r="G170" s="44"/>
      <c r="H170" s="44"/>
      <c r="I170" s="43"/>
    </row>
    <row r="240" spans="5:9">
      <c r="E240" s="45"/>
      <c r="F240" s="44"/>
      <c r="G240" s="44"/>
      <c r="H240" s="44"/>
      <c r="I240" s="43"/>
    </row>
    <row r="247" spans="5:9">
      <c r="E247" s="45"/>
      <c r="F247" s="44"/>
      <c r="G247" s="44"/>
      <c r="H247" s="44"/>
      <c r="I247" s="43"/>
    </row>
    <row r="253" spans="5:9">
      <c r="E253" s="45"/>
      <c r="F253" s="44"/>
      <c r="G253" s="44"/>
      <c r="H253" s="44"/>
      <c r="I253" s="43"/>
    </row>
    <row r="562" spans="5:9">
      <c r="E562" s="45"/>
      <c r="F562" s="44"/>
      <c r="G562" s="44"/>
      <c r="H562" s="44"/>
      <c r="I562" s="43"/>
    </row>
    <row r="576" spans="5:9">
      <c r="E576" s="42"/>
      <c r="F576" s="41"/>
      <c r="G576" s="41"/>
      <c r="H576" s="41"/>
      <c r="I576" s="40"/>
    </row>
    <row r="577" spans="5:9">
      <c r="E577" s="39"/>
      <c r="F577" s="38"/>
      <c r="G577" s="38"/>
      <c r="H577" s="38"/>
      <c r="I577" s="37"/>
    </row>
    <row r="639" spans="5:9">
      <c r="E639" s="42"/>
      <c r="F639" s="41"/>
      <c r="G639" s="41"/>
      <c r="H639" s="41"/>
      <c r="I639" s="40"/>
    </row>
    <row r="640" spans="5:9">
      <c r="E640" s="39"/>
      <c r="F640" s="38"/>
      <c r="G640" s="38"/>
      <c r="H640" s="38"/>
      <c r="I640" s="37"/>
    </row>
  </sheetData>
  <mergeCells count="8">
    <mergeCell ref="A21:I21"/>
    <mergeCell ref="A22:I22"/>
    <mergeCell ref="A12:I12"/>
    <mergeCell ref="A14:I14"/>
    <mergeCell ref="A17:I17"/>
    <mergeCell ref="A18:I18"/>
    <mergeCell ref="A19:I19"/>
    <mergeCell ref="A13:I13"/>
  </mergeCells>
  <phoneticPr fontId="31" type="noConversion"/>
  <pageMargins left="0.98425196850393704" right="0.39370078740157483" top="0.78740157480314965" bottom="0.39370078740157483" header="0" footer="0"/>
  <pageSetup paperSize="9" orientation="portrait" r:id="rId1"/>
  <headerFooter alignWithMargins="0">
    <oddFooter>&amp;R&amp;"Arial,Poševno"&amp;P/&amp;N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3:O13"/>
  <sheetViews>
    <sheetView view="pageBreakPreview" zoomScale="110" zoomScaleSheetLayoutView="110" workbookViewId="0">
      <selection activeCell="D8" sqref="D8"/>
    </sheetView>
  </sheetViews>
  <sheetFormatPr defaultColWidth="8.7109375" defaultRowHeight="12.75"/>
  <cols>
    <col min="1" max="1" width="11.7109375" style="50" customWidth="1"/>
    <col min="2" max="2" width="31.7109375" style="50" customWidth="1"/>
    <col min="3" max="3" width="13.42578125" style="50" customWidth="1"/>
    <col min="4" max="4" width="26.42578125" style="50" customWidth="1"/>
    <col min="5" max="16384" width="8.7109375" style="50"/>
  </cols>
  <sheetData>
    <row r="3" spans="1:15" ht="19.899999999999999" customHeight="1" thickBot="1">
      <c r="A3" s="88" t="s">
        <v>830</v>
      </c>
      <c r="B3" s="87"/>
      <c r="C3" s="86"/>
      <c r="D3" s="85"/>
      <c r="E3" s="72"/>
      <c r="F3" s="71"/>
      <c r="G3" s="70"/>
      <c r="H3" s="69"/>
      <c r="I3" s="69"/>
      <c r="J3" s="69"/>
      <c r="K3" s="69"/>
      <c r="L3" s="69"/>
      <c r="M3" s="70"/>
      <c r="N3" s="55"/>
      <c r="O3" s="55"/>
    </row>
    <row r="4" spans="1:15" ht="19.899999999999999" customHeight="1">
      <c r="A4" s="84" t="s">
        <v>179</v>
      </c>
      <c r="B4" s="83" t="s">
        <v>178</v>
      </c>
      <c r="C4" s="82"/>
      <c r="D4" s="81">
        <f>'predračun-G.Ponikve'!M4</f>
        <v>0</v>
      </c>
      <c r="E4" s="72"/>
      <c r="F4" s="71"/>
      <c r="G4" s="70"/>
      <c r="H4" s="69"/>
      <c r="I4" s="69"/>
      <c r="J4" s="69"/>
      <c r="K4" s="69"/>
      <c r="L4" s="69"/>
      <c r="M4" s="68"/>
      <c r="N4" s="55"/>
      <c r="O4" s="55"/>
    </row>
    <row r="5" spans="1:15" ht="19.899999999999999" customHeight="1">
      <c r="A5" s="80" t="s">
        <v>177</v>
      </c>
      <c r="B5" s="79" t="s">
        <v>176</v>
      </c>
      <c r="C5" s="78"/>
      <c r="D5" s="77">
        <f>'predračun-G.Ponikve'!M13</f>
        <v>0</v>
      </c>
      <c r="E5" s="72"/>
      <c r="F5" s="71"/>
      <c r="G5" s="70"/>
      <c r="H5" s="69"/>
      <c r="I5" s="69"/>
      <c r="J5" s="69"/>
      <c r="K5" s="69"/>
      <c r="L5" s="69"/>
      <c r="M5" s="68"/>
      <c r="N5" s="55"/>
      <c r="O5" s="55"/>
    </row>
    <row r="6" spans="1:15" ht="19.899999999999999" customHeight="1">
      <c r="A6" s="76" t="s">
        <v>175</v>
      </c>
      <c r="B6" s="75" t="s">
        <v>174</v>
      </c>
      <c r="C6" s="74"/>
      <c r="D6" s="73">
        <f>'predračun-G.Ponikve'!M23</f>
        <v>0</v>
      </c>
      <c r="E6" s="72"/>
      <c r="F6" s="71"/>
      <c r="G6" s="70"/>
      <c r="H6" s="69"/>
      <c r="I6" s="69"/>
      <c r="J6" s="69"/>
      <c r="K6" s="69"/>
      <c r="L6" s="69"/>
      <c r="M6" s="68"/>
      <c r="N6" s="55"/>
      <c r="O6" s="55"/>
    </row>
    <row r="7" spans="1:15" ht="19.899999999999999" customHeight="1">
      <c r="A7" s="76" t="s">
        <v>185</v>
      </c>
      <c r="B7" s="75" t="s">
        <v>186</v>
      </c>
      <c r="C7" s="74"/>
      <c r="D7" s="73">
        <f>'predračun-G.Ponikve'!M34</f>
        <v>0</v>
      </c>
      <c r="E7" s="72"/>
      <c r="F7" s="71"/>
      <c r="G7" s="70"/>
      <c r="H7" s="69"/>
      <c r="I7" s="69"/>
      <c r="J7" s="69"/>
      <c r="K7" s="69"/>
      <c r="L7" s="69"/>
      <c r="M7" s="68"/>
      <c r="N7" s="55"/>
      <c r="O7" s="55"/>
    </row>
    <row r="8" spans="1:15" s="59" customFormat="1" ht="19.899999999999999" customHeight="1">
      <c r="A8" s="67" t="s">
        <v>169</v>
      </c>
      <c r="B8" s="66"/>
      <c r="C8" s="60"/>
      <c r="D8" s="65">
        <f>SUM(D4:D7)</f>
        <v>0</v>
      </c>
      <c r="E8" s="64"/>
      <c r="F8" s="63"/>
      <c r="G8" s="61"/>
      <c r="H8" s="62"/>
      <c r="I8" s="62"/>
      <c r="J8" s="62"/>
      <c r="K8" s="62"/>
      <c r="L8" s="62"/>
      <c r="M8" s="61"/>
      <c r="N8" s="60"/>
      <c r="O8" s="60"/>
    </row>
    <row r="9" spans="1:15" ht="19.899999999999999" customHeight="1">
      <c r="A9" s="58" t="s">
        <v>180</v>
      </c>
      <c r="B9" s="57"/>
      <c r="C9" s="57"/>
      <c r="D9" s="56">
        <f>D8*0.22</f>
        <v>0</v>
      </c>
      <c r="F9" s="55"/>
      <c r="G9" s="55"/>
      <c r="H9" s="55"/>
      <c r="I9" s="55"/>
      <c r="J9" s="55"/>
      <c r="K9" s="55"/>
      <c r="L9" s="55"/>
      <c r="M9" s="55"/>
      <c r="N9" s="55"/>
      <c r="O9" s="55"/>
    </row>
    <row r="10" spans="1:15" ht="19.899999999999999" customHeight="1" thickBot="1">
      <c r="A10" s="54" t="s">
        <v>168</v>
      </c>
      <c r="B10" s="53"/>
      <c r="C10" s="53"/>
      <c r="D10" s="52">
        <f>D8*1.22</f>
        <v>0</v>
      </c>
    </row>
    <row r="11" spans="1:15" ht="13.5" thickTop="1"/>
    <row r="13" spans="1:15">
      <c r="D13" s="51"/>
    </row>
  </sheetData>
  <pageMargins left="0.70866141732283472" right="0.70866141732283472" top="0.74803149606299213" bottom="0.74803149606299213" header="0.31496062992125984" footer="0.31496062992125984"/>
  <pageSetup paperSize="9" orientation="portrait" r:id="rId1"/>
  <headerFooter>
    <oddHeader>&amp;CProjekt Dolenje in Gorenje Ponikve:
Kanalizacija, rekonstrukcija vodovoda in pločnik med naseljema</oddHead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P47"/>
  <sheetViews>
    <sheetView view="pageBreakPreview" zoomScale="110" zoomScaleSheetLayoutView="110" workbookViewId="0">
      <selection activeCell="M34" sqref="M34"/>
    </sheetView>
  </sheetViews>
  <sheetFormatPr defaultColWidth="8.7109375" defaultRowHeight="12.75"/>
  <cols>
    <col min="1" max="1" width="8.7109375" style="101" customWidth="1"/>
    <col min="2" max="2" width="11.7109375" style="4" customWidth="1"/>
    <col min="3" max="3" width="36.7109375" style="93" customWidth="1"/>
    <col min="4" max="4" width="30.7109375" style="93" customWidth="1"/>
    <col min="5" max="5" width="6.7109375" style="4" customWidth="1"/>
    <col min="6" max="6" width="11.7109375" style="6" customWidth="1"/>
    <col min="7" max="7" width="16.7109375" style="8" customWidth="1"/>
    <col min="8" max="12" width="0" hidden="1" customWidth="1"/>
    <col min="13" max="13" width="18.7109375" style="10" customWidth="1"/>
  </cols>
  <sheetData>
    <row r="1" spans="1:13" ht="18.75" customHeight="1">
      <c r="A1" s="102" t="s">
        <v>831</v>
      </c>
    </row>
    <row r="2" spans="1:13" s="1" customFormat="1" ht="18.75" thickBot="1">
      <c r="B2" s="3"/>
      <c r="C2" s="90"/>
      <c r="D2" s="90"/>
      <c r="E2" s="3"/>
      <c r="F2" s="5"/>
      <c r="G2" s="7"/>
      <c r="M2" s="9"/>
    </row>
    <row r="3" spans="1:13" s="2" customFormat="1" ht="15.75" thickBot="1">
      <c r="A3" s="30" t="s">
        <v>131</v>
      </c>
      <c r="B3" s="31" t="s">
        <v>135</v>
      </c>
      <c r="C3" s="32" t="s">
        <v>133</v>
      </c>
      <c r="D3" s="32" t="s">
        <v>134</v>
      </c>
      <c r="E3" s="31" t="s">
        <v>136</v>
      </c>
      <c r="F3" s="33" t="s">
        <v>132</v>
      </c>
      <c r="G3" s="34" t="s">
        <v>137</v>
      </c>
      <c r="H3" s="34" t="s">
        <v>137</v>
      </c>
      <c r="I3" s="34" t="s">
        <v>137</v>
      </c>
      <c r="J3" s="34" t="s">
        <v>137</v>
      </c>
      <c r="K3" s="34" t="s">
        <v>137</v>
      </c>
      <c r="L3" s="34" t="s">
        <v>137</v>
      </c>
      <c r="M3" s="35" t="s">
        <v>165</v>
      </c>
    </row>
    <row r="4" spans="1:13" s="11" customFormat="1" ht="16.899999999999999" customHeight="1">
      <c r="A4" s="96" t="s">
        <v>138</v>
      </c>
      <c r="B4" s="26"/>
      <c r="C4" s="91"/>
      <c r="D4" s="91"/>
      <c r="E4" s="26"/>
      <c r="F4" s="27"/>
      <c r="G4" s="28"/>
      <c r="H4" s="29">
        <v>2495</v>
      </c>
      <c r="I4" s="29"/>
      <c r="J4" s="29"/>
      <c r="K4" s="29"/>
      <c r="L4" s="29"/>
      <c r="M4" s="28">
        <f>SUM(M5,M8)</f>
        <v>0</v>
      </c>
    </row>
    <row r="5" spans="1:13" s="11" customFormat="1" ht="16.899999999999999" customHeight="1">
      <c r="A5" s="97" t="s">
        <v>139</v>
      </c>
      <c r="B5" s="12"/>
      <c r="C5" s="92"/>
      <c r="D5" s="92"/>
      <c r="E5" s="12"/>
      <c r="F5" s="13"/>
      <c r="G5" s="14"/>
      <c r="H5" s="15">
        <v>2496</v>
      </c>
      <c r="I5" s="15"/>
      <c r="J5" s="15"/>
      <c r="K5" s="15"/>
      <c r="L5" s="15"/>
      <c r="M5" s="14">
        <f>SUM(M6:M7)</f>
        <v>0</v>
      </c>
    </row>
    <row r="6" spans="1:13" ht="25.5">
      <c r="A6" s="98" t="s">
        <v>140</v>
      </c>
      <c r="B6" s="16" t="s">
        <v>187</v>
      </c>
      <c r="C6" s="89" t="s">
        <v>219</v>
      </c>
      <c r="D6" s="438"/>
      <c r="E6" s="16" t="s">
        <v>188</v>
      </c>
      <c r="F6" s="115">
        <v>0.56999999999999995</v>
      </c>
      <c r="G6" s="18"/>
      <c r="H6" s="19">
        <v>5865</v>
      </c>
      <c r="I6" s="19">
        <v>2496</v>
      </c>
      <c r="J6" s="19"/>
      <c r="K6" s="19">
        <v>12786</v>
      </c>
      <c r="L6" s="19"/>
      <c r="M6" s="18">
        <f>F6*G6</f>
        <v>0</v>
      </c>
    </row>
    <row r="7" spans="1:13" ht="25.5">
      <c r="A7" s="99" t="s">
        <v>141</v>
      </c>
      <c r="B7" s="20" t="s">
        <v>189</v>
      </c>
      <c r="C7" s="94" t="s">
        <v>220</v>
      </c>
      <c r="D7" s="438"/>
      <c r="E7" s="20" t="s">
        <v>190</v>
      </c>
      <c r="F7" s="115">
        <v>10</v>
      </c>
      <c r="G7" s="21"/>
      <c r="H7" s="19">
        <v>5866</v>
      </c>
      <c r="I7" s="19">
        <v>2496</v>
      </c>
      <c r="J7" s="19"/>
      <c r="K7" s="19">
        <v>12776</v>
      </c>
      <c r="L7" s="19"/>
      <c r="M7" s="18">
        <f>F7*G7</f>
        <v>0</v>
      </c>
    </row>
    <row r="8" spans="1:13" s="11" customFormat="1" ht="16.899999999999999" customHeight="1">
      <c r="A8" s="97" t="s">
        <v>143</v>
      </c>
      <c r="B8" s="12"/>
      <c r="C8" s="92"/>
      <c r="D8" s="92"/>
      <c r="E8" s="12"/>
      <c r="F8" s="121"/>
      <c r="G8" s="14"/>
      <c r="H8" s="15">
        <v>2497</v>
      </c>
      <c r="I8" s="15"/>
      <c r="J8" s="15"/>
      <c r="K8" s="15"/>
      <c r="L8" s="15"/>
      <c r="M8" s="14">
        <f>SUM(M9:M11)</f>
        <v>0</v>
      </c>
    </row>
    <row r="9" spans="1:13" ht="25.5">
      <c r="A9" s="109" t="s">
        <v>140</v>
      </c>
      <c r="B9" s="110" t="s">
        <v>109</v>
      </c>
      <c r="C9" s="111" t="s">
        <v>110</v>
      </c>
      <c r="D9" s="89"/>
      <c r="E9" s="110" t="s">
        <v>105</v>
      </c>
      <c r="F9" s="445">
        <v>1710</v>
      </c>
      <c r="G9" s="21"/>
      <c r="H9" s="19">
        <v>5932</v>
      </c>
      <c r="I9" s="19">
        <v>2497</v>
      </c>
      <c r="J9" s="19"/>
      <c r="K9" s="19">
        <v>5065</v>
      </c>
      <c r="L9" s="19"/>
      <c r="M9" s="18">
        <f>F9*G9</f>
        <v>0</v>
      </c>
    </row>
    <row r="10" spans="1:13" ht="25.5">
      <c r="A10" s="109" t="s">
        <v>141</v>
      </c>
      <c r="B10" s="110" t="s">
        <v>111</v>
      </c>
      <c r="C10" s="111" t="s">
        <v>112</v>
      </c>
      <c r="D10" s="89"/>
      <c r="E10" s="110" t="s">
        <v>105</v>
      </c>
      <c r="F10" s="445">
        <f>F11*0.5</f>
        <v>111.125</v>
      </c>
      <c r="G10" s="21"/>
      <c r="H10" s="19">
        <v>5932</v>
      </c>
      <c r="I10" s="19">
        <v>2497</v>
      </c>
      <c r="J10" s="19"/>
      <c r="K10" s="19">
        <v>5065</v>
      </c>
      <c r="L10" s="19"/>
      <c r="M10" s="18">
        <f>F10*G10</f>
        <v>0</v>
      </c>
    </row>
    <row r="11" spans="1:13" ht="25.5">
      <c r="A11" s="109" t="s">
        <v>142</v>
      </c>
      <c r="B11" s="110" t="s">
        <v>113</v>
      </c>
      <c r="C11" s="111" t="s">
        <v>114</v>
      </c>
      <c r="D11" s="89"/>
      <c r="E11" s="110" t="s">
        <v>115</v>
      </c>
      <c r="F11" s="445">
        <f>288.25-66</f>
        <v>222.25</v>
      </c>
      <c r="G11" s="21"/>
      <c r="H11" s="19">
        <v>5932</v>
      </c>
      <c r="I11" s="19">
        <v>2497</v>
      </c>
      <c r="J11" s="19"/>
      <c r="K11" s="19">
        <v>5065</v>
      </c>
      <c r="L11" s="19"/>
      <c r="M11" s="18">
        <f>F11*G11</f>
        <v>0</v>
      </c>
    </row>
    <row r="12" spans="1:13">
      <c r="A12" s="99"/>
      <c r="B12" s="110"/>
      <c r="C12" s="94"/>
      <c r="D12" s="89"/>
      <c r="E12" s="20"/>
      <c r="F12" s="22"/>
      <c r="G12" s="21"/>
      <c r="H12" s="19"/>
      <c r="I12" s="19"/>
      <c r="J12" s="19"/>
      <c r="K12" s="19"/>
      <c r="L12" s="19"/>
      <c r="M12" s="18"/>
    </row>
    <row r="13" spans="1:13" s="11" customFormat="1" ht="16.899999999999999" customHeight="1">
      <c r="A13" s="100" t="s">
        <v>148</v>
      </c>
      <c r="B13" s="23"/>
      <c r="C13" s="95"/>
      <c r="D13" s="92"/>
      <c r="E13" s="23"/>
      <c r="F13" s="24"/>
      <c r="G13" s="25"/>
      <c r="H13" s="15">
        <v>2499</v>
      </c>
      <c r="I13" s="15"/>
      <c r="J13" s="15"/>
      <c r="K13" s="15"/>
      <c r="L13" s="15"/>
      <c r="M13" s="14">
        <f>SUM(M14,M16)+M20+M18</f>
        <v>0</v>
      </c>
    </row>
    <row r="14" spans="1:13" s="11" customFormat="1" ht="16.899999999999999" customHeight="1">
      <c r="A14" s="100" t="s">
        <v>149</v>
      </c>
      <c r="B14" s="23"/>
      <c r="C14" s="95"/>
      <c r="D14" s="92"/>
      <c r="E14" s="23"/>
      <c r="F14" s="24"/>
      <c r="G14" s="25"/>
      <c r="H14" s="15">
        <v>2500</v>
      </c>
      <c r="I14" s="15"/>
      <c r="J14" s="15"/>
      <c r="K14" s="15"/>
      <c r="L14" s="15"/>
      <c r="M14" s="14">
        <f>SUM(M15)</f>
        <v>0</v>
      </c>
    </row>
    <row r="15" spans="1:13" ht="25.5">
      <c r="A15" s="99" t="s">
        <v>141</v>
      </c>
      <c r="B15" s="110" t="s">
        <v>122</v>
      </c>
      <c r="C15" s="111" t="s">
        <v>123</v>
      </c>
      <c r="D15" s="103"/>
      <c r="E15" s="110" t="s">
        <v>108</v>
      </c>
      <c r="F15" s="445">
        <v>570</v>
      </c>
      <c r="G15" s="21"/>
      <c r="H15" s="19">
        <v>5879</v>
      </c>
      <c r="I15" s="19">
        <v>2500</v>
      </c>
      <c r="J15" s="19"/>
      <c r="K15" s="19">
        <v>4475</v>
      </c>
      <c r="L15" s="19" t="s">
        <v>150</v>
      </c>
      <c r="M15" s="18">
        <f>F15*G15</f>
        <v>0</v>
      </c>
    </row>
    <row r="16" spans="1:13" s="11" customFormat="1" ht="16.899999999999999" customHeight="1">
      <c r="A16" s="97" t="s">
        <v>151</v>
      </c>
      <c r="B16" s="12"/>
      <c r="C16" s="92"/>
      <c r="D16" s="92"/>
      <c r="E16" s="12"/>
      <c r="F16" s="121"/>
      <c r="G16" s="14"/>
      <c r="H16" s="15">
        <v>2501</v>
      </c>
      <c r="I16" s="15"/>
      <c r="J16" s="15"/>
      <c r="K16" s="15"/>
      <c r="L16" s="15"/>
      <c r="M16" s="14">
        <f>SUM(M17)</f>
        <v>0</v>
      </c>
    </row>
    <row r="17" spans="1:13" ht="25.5">
      <c r="A17" s="98" t="s">
        <v>140</v>
      </c>
      <c r="B17" s="107" t="s">
        <v>124</v>
      </c>
      <c r="C17" s="89" t="s">
        <v>152</v>
      </c>
      <c r="D17" s="89"/>
      <c r="E17" s="107" t="s">
        <v>105</v>
      </c>
      <c r="F17" s="115">
        <f>F6*1000*5.2</f>
        <v>2964</v>
      </c>
      <c r="G17" s="18"/>
      <c r="H17" s="19">
        <v>5880</v>
      </c>
      <c r="I17" s="19">
        <v>2501</v>
      </c>
      <c r="J17" s="19"/>
      <c r="K17" s="19">
        <v>5917</v>
      </c>
      <c r="L17" s="19"/>
      <c r="M17" s="18">
        <f>F17*G17</f>
        <v>0</v>
      </c>
    </row>
    <row r="18" spans="1:13" s="11" customFormat="1" ht="16.899999999999999" customHeight="1">
      <c r="A18" s="97" t="s">
        <v>804</v>
      </c>
      <c r="B18" s="12"/>
      <c r="C18" s="92"/>
      <c r="D18" s="92"/>
      <c r="E18" s="12"/>
      <c r="F18" s="121"/>
      <c r="G18" s="14"/>
      <c r="H18" s="15">
        <v>2503</v>
      </c>
      <c r="I18" s="15"/>
      <c r="J18" s="15"/>
      <c r="K18" s="15"/>
      <c r="L18" s="15"/>
      <c r="M18" s="14">
        <f>SUM(M19)</f>
        <v>0</v>
      </c>
    </row>
    <row r="19" spans="1:13" ht="51">
      <c r="A19" s="112" t="s">
        <v>140</v>
      </c>
      <c r="B19" s="113" t="s">
        <v>215</v>
      </c>
      <c r="C19" s="114" t="s">
        <v>216</v>
      </c>
      <c r="D19" s="114"/>
      <c r="E19" s="125" t="s">
        <v>108</v>
      </c>
      <c r="F19" s="115">
        <f>F6*1000*0.24</f>
        <v>136.79999999999998</v>
      </c>
      <c r="G19" s="116"/>
      <c r="H19" s="117">
        <v>5886</v>
      </c>
      <c r="I19" s="117">
        <v>2503</v>
      </c>
      <c r="J19" s="117"/>
      <c r="K19" s="117">
        <v>6255</v>
      </c>
      <c r="L19" s="117"/>
      <c r="M19" s="116">
        <f>F19*G19</f>
        <v>0</v>
      </c>
    </row>
    <row r="20" spans="1:13" s="11" customFormat="1" ht="16.899999999999999" customHeight="1">
      <c r="A20" s="97" t="s">
        <v>805</v>
      </c>
      <c r="B20" s="12"/>
      <c r="C20" s="92"/>
      <c r="D20" s="92"/>
      <c r="E20" s="12"/>
      <c r="F20" s="13"/>
      <c r="G20" s="14"/>
      <c r="H20" s="15">
        <v>2503</v>
      </c>
      <c r="I20" s="15"/>
      <c r="J20" s="15"/>
      <c r="K20" s="15"/>
      <c r="L20" s="15"/>
      <c r="M20" s="14">
        <f>SUM(M21:M21)</f>
        <v>0</v>
      </c>
    </row>
    <row r="21" spans="1:13" ht="51">
      <c r="A21" s="112" t="s">
        <v>140</v>
      </c>
      <c r="B21" s="113" t="s">
        <v>130</v>
      </c>
      <c r="C21" s="114" t="s">
        <v>835</v>
      </c>
      <c r="D21" s="114"/>
      <c r="E21" s="325" t="s">
        <v>108</v>
      </c>
      <c r="F21" s="115">
        <f>F15-F19</f>
        <v>433.20000000000005</v>
      </c>
      <c r="G21" s="116"/>
      <c r="H21" s="117">
        <v>5886</v>
      </c>
      <c r="I21" s="117">
        <v>2503</v>
      </c>
      <c r="J21" s="117"/>
      <c r="K21" s="117">
        <v>6255</v>
      </c>
      <c r="L21" s="117"/>
      <c r="M21" s="116">
        <f>F21*G21</f>
        <v>0</v>
      </c>
    </row>
    <row r="22" spans="1:13">
      <c r="A22" s="98"/>
      <c r="B22" s="16"/>
      <c r="C22" s="89"/>
      <c r="D22" s="89"/>
      <c r="E22" s="16"/>
      <c r="F22" s="17"/>
      <c r="G22" s="18"/>
      <c r="H22" s="19"/>
      <c r="I22" s="19"/>
      <c r="J22" s="19"/>
      <c r="K22" s="19"/>
      <c r="L22" s="19"/>
      <c r="M22" s="18"/>
    </row>
    <row r="23" spans="1:13" s="11" customFormat="1" ht="16.899999999999999" customHeight="1">
      <c r="A23" s="97" t="s">
        <v>156</v>
      </c>
      <c r="B23" s="12"/>
      <c r="C23" s="92"/>
      <c r="D23" s="92"/>
      <c r="E23" s="12"/>
      <c r="F23" s="13"/>
      <c r="G23" s="14"/>
      <c r="H23" s="15">
        <v>2504</v>
      </c>
      <c r="I23" s="15"/>
      <c r="J23" s="15"/>
      <c r="K23" s="15"/>
      <c r="L23" s="15"/>
      <c r="M23" s="14">
        <f>SUM(M24,M28,M31)</f>
        <v>0</v>
      </c>
    </row>
    <row r="24" spans="1:13" s="11" customFormat="1" ht="16.899999999999999" customHeight="1">
      <c r="A24" s="97" t="s">
        <v>157</v>
      </c>
      <c r="B24" s="12"/>
      <c r="C24" s="92"/>
      <c r="D24" s="92"/>
      <c r="E24" s="12"/>
      <c r="F24" s="13"/>
      <c r="G24" s="14"/>
      <c r="H24" s="15">
        <v>2505</v>
      </c>
      <c r="I24" s="15"/>
      <c r="J24" s="15"/>
      <c r="K24" s="15"/>
      <c r="L24" s="15"/>
      <c r="M24" s="14">
        <f>SUM(M25:M27)</f>
        <v>0</v>
      </c>
    </row>
    <row r="25" spans="1:13" s="11" customFormat="1" ht="42.75" customHeight="1">
      <c r="A25" s="98" t="s">
        <v>140</v>
      </c>
      <c r="B25" s="107" t="s">
        <v>81</v>
      </c>
      <c r="C25" s="103" t="s">
        <v>335</v>
      </c>
      <c r="D25" s="103"/>
      <c r="E25" s="107" t="s">
        <v>108</v>
      </c>
      <c r="F25" s="115">
        <v>855</v>
      </c>
      <c r="G25" s="18"/>
      <c r="H25" s="19">
        <v>5882</v>
      </c>
      <c r="I25" s="19">
        <v>2502</v>
      </c>
      <c r="J25" s="19"/>
      <c r="K25" s="19">
        <v>6223</v>
      </c>
      <c r="L25" s="19"/>
      <c r="M25" s="18">
        <f>F25*G25</f>
        <v>0</v>
      </c>
    </row>
    <row r="26" spans="1:13" s="11" customFormat="1" ht="43.5" customHeight="1">
      <c r="A26" s="98" t="s">
        <v>141</v>
      </c>
      <c r="B26" s="107" t="s">
        <v>83</v>
      </c>
      <c r="C26" s="103" t="s">
        <v>84</v>
      </c>
      <c r="D26" s="103" t="s">
        <v>85</v>
      </c>
      <c r="E26" s="107" t="s">
        <v>108</v>
      </c>
      <c r="F26" s="115">
        <f>F6*1000*0.9</f>
        <v>513</v>
      </c>
      <c r="G26" s="18"/>
      <c r="H26" s="19">
        <v>5883</v>
      </c>
      <c r="I26" s="19">
        <v>2502</v>
      </c>
      <c r="J26" s="19"/>
      <c r="K26" s="19">
        <v>6180</v>
      </c>
      <c r="L26" s="19"/>
      <c r="M26" s="18">
        <f>F26*G26</f>
        <v>0</v>
      </c>
    </row>
    <row r="27" spans="1:13" s="11" customFormat="1" ht="43.5" customHeight="1">
      <c r="A27" s="733" t="s">
        <v>142</v>
      </c>
      <c r="B27" s="107" t="s">
        <v>86</v>
      </c>
      <c r="C27" s="734" t="s">
        <v>834</v>
      </c>
      <c r="D27" s="734"/>
      <c r="E27" s="107" t="s">
        <v>105</v>
      </c>
      <c r="F27" s="115">
        <f>F6*1000*4.2</f>
        <v>2394</v>
      </c>
      <c r="G27" s="18"/>
      <c r="H27" s="598"/>
      <c r="I27" s="598"/>
      <c r="J27" s="598"/>
      <c r="K27" s="598"/>
      <c r="L27" s="598"/>
      <c r="M27" s="18">
        <f>F27*G27</f>
        <v>0</v>
      </c>
    </row>
    <row r="28" spans="1:13" s="11" customFormat="1" ht="16.899999999999999" customHeight="1">
      <c r="A28" s="97" t="s">
        <v>161</v>
      </c>
      <c r="B28" s="12"/>
      <c r="C28" s="92"/>
      <c r="D28" s="92"/>
      <c r="E28" s="12"/>
      <c r="F28" s="13"/>
      <c r="G28" s="14"/>
      <c r="H28" s="15">
        <v>2508</v>
      </c>
      <c r="I28" s="15"/>
      <c r="J28" s="15"/>
      <c r="K28" s="15"/>
      <c r="L28" s="15"/>
      <c r="M28" s="14">
        <f>SUM(M29:M29)</f>
        <v>0</v>
      </c>
    </row>
    <row r="29" spans="1:13" ht="25.5">
      <c r="A29" s="98" t="s">
        <v>140</v>
      </c>
      <c r="B29" s="107" t="s">
        <v>90</v>
      </c>
      <c r="C29" s="103" t="s">
        <v>91</v>
      </c>
      <c r="D29" s="438"/>
      <c r="E29" s="107" t="s">
        <v>105</v>
      </c>
      <c r="F29" s="115">
        <f>F6*1000*2*0.6*0.4</f>
        <v>273.60000000000002</v>
      </c>
      <c r="G29" s="18"/>
      <c r="H29" s="19">
        <v>5943</v>
      </c>
      <c r="I29" s="19">
        <v>2508</v>
      </c>
      <c r="J29" s="19"/>
      <c r="K29" s="19">
        <v>7359</v>
      </c>
      <c r="L29" s="19"/>
      <c r="M29" s="18">
        <f>F29*G29</f>
        <v>0</v>
      </c>
    </row>
    <row r="30" spans="1:13">
      <c r="A30" s="98"/>
      <c r="B30" s="107"/>
      <c r="C30" s="89"/>
      <c r="D30" s="103"/>
      <c r="E30" s="107"/>
      <c r="F30" s="17"/>
      <c r="G30" s="18"/>
      <c r="H30" s="19"/>
      <c r="I30" s="19"/>
      <c r="J30" s="19"/>
      <c r="K30" s="19"/>
      <c r="L30" s="19"/>
      <c r="M30" s="18"/>
    </row>
    <row r="31" spans="1:13" s="124" customFormat="1" ht="16.899999999999999" customHeight="1">
      <c r="A31" s="118" t="s">
        <v>13</v>
      </c>
      <c r="B31" s="119"/>
      <c r="C31" s="120"/>
      <c r="D31" s="120"/>
      <c r="E31" s="119"/>
      <c r="F31" s="121"/>
      <c r="G31" s="122"/>
      <c r="H31" s="123">
        <v>2508</v>
      </c>
      <c r="I31" s="123"/>
      <c r="J31" s="123"/>
      <c r="K31" s="123"/>
      <c r="L31" s="123"/>
      <c r="M31" s="122">
        <f>SUM(M32:M32)</f>
        <v>0</v>
      </c>
    </row>
    <row r="32" spans="1:13" s="126" customFormat="1" ht="66" customHeight="1">
      <c r="A32" s="112" t="s">
        <v>140</v>
      </c>
      <c r="B32" s="113" t="s">
        <v>103</v>
      </c>
      <c r="C32" s="439" t="s">
        <v>347</v>
      </c>
      <c r="D32" s="439" t="s">
        <v>345</v>
      </c>
      <c r="E32" s="113" t="s">
        <v>115</v>
      </c>
      <c r="F32" s="115">
        <v>134</v>
      </c>
      <c r="G32" s="116"/>
      <c r="H32" s="117">
        <v>5943</v>
      </c>
      <c r="I32" s="117">
        <v>2508</v>
      </c>
      <c r="J32" s="117"/>
      <c r="K32" s="117">
        <v>7359</v>
      </c>
      <c r="L32" s="117"/>
      <c r="M32" s="116">
        <f>F32*G32</f>
        <v>0</v>
      </c>
    </row>
    <row r="33" spans="1:16" s="126" customFormat="1">
      <c r="A33" s="112"/>
      <c r="B33" s="113"/>
      <c r="C33" s="114"/>
      <c r="D33" s="447"/>
      <c r="E33" s="113"/>
      <c r="F33" s="115"/>
      <c r="G33" s="116"/>
      <c r="H33" s="117"/>
      <c r="I33" s="117"/>
      <c r="J33" s="117"/>
      <c r="K33" s="117"/>
      <c r="L33" s="117"/>
      <c r="M33" s="116"/>
    </row>
    <row r="34" spans="1:16" s="124" customFormat="1" ht="16.899999999999999" customHeight="1">
      <c r="A34" s="118" t="s">
        <v>183</v>
      </c>
      <c r="B34" s="119"/>
      <c r="C34" s="120"/>
      <c r="D34" s="120"/>
      <c r="E34" s="119"/>
      <c r="F34" s="121"/>
      <c r="G34" s="122"/>
      <c r="H34" s="123">
        <v>2702</v>
      </c>
      <c r="I34" s="123"/>
      <c r="J34" s="123"/>
      <c r="K34" s="123"/>
      <c r="L34" s="123"/>
      <c r="M34" s="122">
        <f>M35+M38</f>
        <v>0</v>
      </c>
    </row>
    <row r="35" spans="1:16" s="124" customFormat="1" ht="16.899999999999999" customHeight="1">
      <c r="A35" s="118" t="s">
        <v>9</v>
      </c>
      <c r="B35" s="119"/>
      <c r="C35" s="120"/>
      <c r="D35" s="120"/>
      <c r="E35" s="119"/>
      <c r="F35" s="121"/>
      <c r="G35" s="122"/>
      <c r="H35" s="123">
        <v>2704</v>
      </c>
      <c r="I35" s="123"/>
      <c r="J35" s="123"/>
      <c r="K35" s="123"/>
      <c r="L35" s="123"/>
      <c r="M35" s="122">
        <f>SUM(M36:M36)</f>
        <v>0</v>
      </c>
    </row>
    <row r="36" spans="1:16" s="126" customFormat="1" ht="135.75" customHeight="1">
      <c r="A36" s="112" t="s">
        <v>142</v>
      </c>
      <c r="B36" s="113" t="s">
        <v>203</v>
      </c>
      <c r="C36" s="447" t="s">
        <v>449</v>
      </c>
      <c r="D36" s="439" t="s">
        <v>450</v>
      </c>
      <c r="E36" s="452" t="s">
        <v>60</v>
      </c>
      <c r="F36" s="115">
        <v>240</v>
      </c>
      <c r="G36" s="116"/>
      <c r="H36" s="117"/>
      <c r="I36" s="117"/>
      <c r="J36" s="117"/>
      <c r="K36" s="117"/>
      <c r="L36" s="117"/>
      <c r="M36" s="116">
        <f t="shared" ref="M36" si="0">F36*G36</f>
        <v>0</v>
      </c>
    </row>
    <row r="37" spans="1:16" s="126" customFormat="1" ht="17.25" customHeight="1">
      <c r="A37" s="127"/>
      <c r="B37" s="125"/>
      <c r="C37" s="114"/>
      <c r="D37" s="114"/>
      <c r="E37" s="125"/>
      <c r="F37" s="115"/>
      <c r="G37" s="116"/>
      <c r="H37" s="117"/>
      <c r="I37" s="117"/>
      <c r="J37" s="117"/>
      <c r="K37" s="117"/>
      <c r="L37" s="117"/>
      <c r="M37" s="116"/>
    </row>
    <row r="38" spans="1:16" s="124" customFormat="1" ht="16.899999999999999" customHeight="1">
      <c r="A38" s="118" t="s">
        <v>10</v>
      </c>
      <c r="B38" s="119"/>
      <c r="C38" s="120"/>
      <c r="D38" s="120"/>
      <c r="E38" s="119"/>
      <c r="F38" s="121"/>
      <c r="G38" s="122"/>
      <c r="H38" s="123">
        <v>2705</v>
      </c>
      <c r="I38" s="123"/>
      <c r="J38" s="123"/>
      <c r="K38" s="123"/>
      <c r="L38" s="123"/>
      <c r="M38" s="122">
        <f>SUM(M39:M42)</f>
        <v>0</v>
      </c>
    </row>
    <row r="39" spans="1:16" s="126" customFormat="1" ht="38.25">
      <c r="A39" s="112" t="s">
        <v>140</v>
      </c>
      <c r="B39" s="125" t="s">
        <v>104</v>
      </c>
      <c r="C39" s="114" t="s">
        <v>200</v>
      </c>
      <c r="D39" s="114"/>
      <c r="E39" s="125" t="s">
        <v>190</v>
      </c>
      <c r="F39" s="115">
        <v>8</v>
      </c>
      <c r="G39" s="116"/>
      <c r="H39" s="117">
        <v>6482</v>
      </c>
      <c r="I39" s="117">
        <v>2704</v>
      </c>
      <c r="J39" s="117"/>
      <c r="K39" s="117">
        <v>10613</v>
      </c>
      <c r="L39" s="117"/>
      <c r="M39" s="116">
        <f>F39*G39</f>
        <v>0</v>
      </c>
    </row>
    <row r="40" spans="1:16" s="126" customFormat="1" ht="38.25">
      <c r="A40" s="112" t="s">
        <v>141</v>
      </c>
      <c r="B40" s="125" t="s">
        <v>360</v>
      </c>
      <c r="C40" s="114" t="s">
        <v>353</v>
      </c>
      <c r="D40" s="114"/>
      <c r="E40" s="125" t="s">
        <v>190</v>
      </c>
      <c r="F40" s="115">
        <v>8</v>
      </c>
      <c r="G40" s="116"/>
      <c r="H40" s="117">
        <v>6485</v>
      </c>
      <c r="I40" s="117">
        <v>2704</v>
      </c>
      <c r="J40" s="117"/>
      <c r="K40" s="117">
        <v>10647</v>
      </c>
      <c r="L40" s="117"/>
      <c r="M40" s="116">
        <f>F40*G40</f>
        <v>0</v>
      </c>
    </row>
    <row r="41" spans="1:16" s="126" customFormat="1">
      <c r="A41" s="112"/>
      <c r="B41" s="125"/>
      <c r="C41" s="114"/>
      <c r="D41" s="114"/>
      <c r="E41" s="125"/>
      <c r="F41" s="115"/>
      <c r="G41" s="116"/>
      <c r="H41" s="117">
        <v>6485</v>
      </c>
      <c r="I41" s="117">
        <v>2704</v>
      </c>
      <c r="J41" s="117"/>
      <c r="K41" s="117">
        <v>10647</v>
      </c>
      <c r="L41" s="117"/>
      <c r="M41" s="116"/>
    </row>
    <row r="42" spans="1:16" s="126" customFormat="1">
      <c r="A42" s="127" t="s">
        <v>142</v>
      </c>
      <c r="B42" s="125"/>
      <c r="C42" s="114" t="s">
        <v>12</v>
      </c>
      <c r="D42" s="439"/>
      <c r="E42" s="125" t="s">
        <v>190</v>
      </c>
      <c r="F42" s="115">
        <v>8</v>
      </c>
      <c r="G42" s="116"/>
      <c r="H42" s="117">
        <v>6485</v>
      </c>
      <c r="I42" s="117">
        <v>2704</v>
      </c>
      <c r="J42" s="117"/>
      <c r="K42" s="117">
        <v>10647</v>
      </c>
      <c r="L42" s="117"/>
      <c r="M42" s="116">
        <f>F42*G42</f>
        <v>0</v>
      </c>
    </row>
    <row r="43" spans="1:16">
      <c r="A43" s="98"/>
      <c r="B43" s="16"/>
      <c r="C43" s="89"/>
      <c r="D43" s="89"/>
      <c r="E43" s="16"/>
      <c r="F43" s="17"/>
      <c r="G43" s="18"/>
      <c r="H43" s="19"/>
      <c r="I43" s="19"/>
      <c r="J43" s="19"/>
      <c r="K43" s="19"/>
      <c r="L43" s="19"/>
      <c r="M43" s="18"/>
    </row>
    <row r="44" spans="1:16">
      <c r="P44" s="108"/>
    </row>
    <row r="45" spans="1:16">
      <c r="P45" s="108"/>
    </row>
    <row r="46" spans="1:16">
      <c r="P46" s="108"/>
    </row>
    <row r="47" spans="1:16">
      <c r="P47" s="108"/>
    </row>
  </sheetData>
  <pageMargins left="0.70866141732283472" right="0.70866141732283472" top="0.74803149606299213" bottom="0.74803149606299213" header="0.31496062992125984" footer="0.31496062992125984"/>
  <pageSetup paperSize="9" scale="62" orientation="portrait" r:id="rId1"/>
  <headerFooter>
    <oddHeader>&amp;CProjekt Dolenje in Gorenje Ponikve:
Kanalizacija, rekonstrukcija vodovoda in pločnik med naseljema</oddHeader>
    <oddFooter>&amp;R&amp;P/&amp;N</oddFooter>
  </headerFooter>
  <rowBreaks count="1" manualBreakCount="1">
    <brk id="22"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3:O13"/>
  <sheetViews>
    <sheetView view="pageBreakPreview" zoomScale="110" zoomScaleSheetLayoutView="110" workbookViewId="0">
      <selection activeCell="D8" sqref="D8"/>
    </sheetView>
  </sheetViews>
  <sheetFormatPr defaultColWidth="8.7109375" defaultRowHeight="12.75"/>
  <cols>
    <col min="1" max="1" width="11.7109375" style="50" customWidth="1"/>
    <col min="2" max="2" width="31.7109375" style="50" customWidth="1"/>
    <col min="3" max="3" width="13.42578125" style="50" customWidth="1"/>
    <col min="4" max="4" width="26.42578125" style="50" customWidth="1"/>
    <col min="5" max="16384" width="8.7109375" style="50"/>
  </cols>
  <sheetData>
    <row r="3" spans="1:15" ht="19.899999999999999" customHeight="1" thickBot="1">
      <c r="A3" s="88" t="s">
        <v>832</v>
      </c>
      <c r="B3" s="87"/>
      <c r="C3" s="86"/>
      <c r="D3" s="85"/>
      <c r="E3" s="72"/>
      <c r="F3" s="71"/>
      <c r="G3" s="70"/>
      <c r="H3" s="69"/>
      <c r="I3" s="69"/>
      <c r="J3" s="69"/>
      <c r="K3" s="69"/>
      <c r="L3" s="69"/>
      <c r="M3" s="70"/>
      <c r="N3" s="55"/>
      <c r="O3" s="55"/>
    </row>
    <row r="4" spans="1:15" ht="19.899999999999999" customHeight="1">
      <c r="A4" s="84" t="s">
        <v>179</v>
      </c>
      <c r="B4" s="83" t="s">
        <v>178</v>
      </c>
      <c r="C4" s="82"/>
      <c r="D4" s="81">
        <f>'predračun-ulice D.Ponikve'!M4</f>
        <v>0</v>
      </c>
      <c r="E4" s="72"/>
      <c r="F4" s="71"/>
      <c r="G4" s="70"/>
      <c r="H4" s="69"/>
      <c r="I4" s="69"/>
      <c r="J4" s="69"/>
      <c r="K4" s="69"/>
      <c r="L4" s="69"/>
      <c r="M4" s="68"/>
      <c r="N4" s="55"/>
      <c r="O4" s="55"/>
    </row>
    <row r="5" spans="1:15" ht="19.899999999999999" customHeight="1">
      <c r="A5" s="80" t="s">
        <v>177</v>
      </c>
      <c r="B5" s="79" t="s">
        <v>176</v>
      </c>
      <c r="C5" s="78"/>
      <c r="D5" s="77">
        <f>'predračun-ulice D.Ponikve'!M13</f>
        <v>0</v>
      </c>
      <c r="E5" s="72"/>
      <c r="F5" s="71"/>
      <c r="G5" s="70"/>
      <c r="H5" s="69"/>
      <c r="I5" s="69"/>
      <c r="J5" s="69"/>
      <c r="K5" s="69"/>
      <c r="L5" s="69"/>
      <c r="M5" s="68"/>
      <c r="N5" s="55"/>
      <c r="O5" s="55"/>
    </row>
    <row r="6" spans="1:15" ht="19.899999999999999" customHeight="1">
      <c r="A6" s="76" t="s">
        <v>175</v>
      </c>
      <c r="B6" s="75" t="s">
        <v>174</v>
      </c>
      <c r="C6" s="74"/>
      <c r="D6" s="73">
        <f>'predračun-ulice D.Ponikve'!M24</f>
        <v>0</v>
      </c>
      <c r="E6" s="72"/>
      <c r="F6" s="71"/>
      <c r="G6" s="70"/>
      <c r="H6" s="69"/>
      <c r="I6" s="69"/>
      <c r="J6" s="69"/>
      <c r="K6" s="69"/>
      <c r="L6" s="69"/>
      <c r="M6" s="68"/>
      <c r="N6" s="55"/>
      <c r="O6" s="55"/>
    </row>
    <row r="7" spans="1:15" ht="19.899999999999999" customHeight="1">
      <c r="A7" s="76" t="s">
        <v>185</v>
      </c>
      <c r="B7" s="75" t="s">
        <v>186</v>
      </c>
      <c r="C7" s="74"/>
      <c r="D7" s="73">
        <f>'predračun-ulice D.Ponikve'!M35</f>
        <v>0</v>
      </c>
      <c r="E7" s="72"/>
      <c r="F7" s="71"/>
      <c r="G7" s="70"/>
      <c r="H7" s="69"/>
      <c r="I7" s="69"/>
      <c r="J7" s="69"/>
      <c r="K7" s="69"/>
      <c r="L7" s="69"/>
      <c r="M7" s="68"/>
      <c r="N7" s="55"/>
      <c r="O7" s="55"/>
    </row>
    <row r="8" spans="1:15" s="59" customFormat="1" ht="19.899999999999999" customHeight="1">
      <c r="A8" s="67" t="s">
        <v>169</v>
      </c>
      <c r="B8" s="66"/>
      <c r="C8" s="60"/>
      <c r="D8" s="65">
        <f>SUM(D4:D7)</f>
        <v>0</v>
      </c>
      <c r="E8" s="64"/>
      <c r="F8" s="63"/>
      <c r="G8" s="61"/>
      <c r="H8" s="62"/>
      <c r="I8" s="62"/>
      <c r="J8" s="62"/>
      <c r="K8" s="62"/>
      <c r="L8" s="62"/>
      <c r="M8" s="61"/>
      <c r="N8" s="60"/>
      <c r="O8" s="60"/>
    </row>
    <row r="9" spans="1:15" ht="19.899999999999999" customHeight="1">
      <c r="A9" s="58" t="s">
        <v>180</v>
      </c>
      <c r="B9" s="57"/>
      <c r="C9" s="57"/>
      <c r="D9" s="56">
        <f>D8*0.22</f>
        <v>0</v>
      </c>
      <c r="F9" s="55"/>
      <c r="G9" s="55"/>
      <c r="H9" s="55"/>
      <c r="I9" s="55"/>
      <c r="J9" s="55"/>
      <c r="K9" s="55"/>
      <c r="L9" s="55"/>
      <c r="M9" s="55"/>
      <c r="N9" s="55"/>
      <c r="O9" s="55"/>
    </row>
    <row r="10" spans="1:15" ht="19.899999999999999" customHeight="1" thickBot="1">
      <c r="A10" s="54" t="s">
        <v>168</v>
      </c>
      <c r="B10" s="53"/>
      <c r="C10" s="53"/>
      <c r="D10" s="52">
        <f>D8*1.22</f>
        <v>0</v>
      </c>
    </row>
    <row r="11" spans="1:15" ht="13.5" thickTop="1"/>
    <row r="13" spans="1:15">
      <c r="D13" s="51"/>
    </row>
  </sheetData>
  <pageMargins left="0.70866141732283472" right="0.70866141732283472" top="0.74803149606299213" bottom="0.74803149606299213" header="0.31496062992125984" footer="0.31496062992125984"/>
  <pageSetup paperSize="9" orientation="portrait" r:id="rId1"/>
  <headerFooter>
    <oddHeader>&amp;CProjekt Dolenje in Gorenje Ponikve:
Kanalizacija, rekonstrukcija vodovoda in pločnik med naseljema</oddHeader>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P47"/>
  <sheetViews>
    <sheetView view="pageBreakPreview" topLeftCell="A28" zoomScale="110" zoomScaleSheetLayoutView="110" workbookViewId="0">
      <selection activeCell="M24" sqref="M24"/>
    </sheetView>
  </sheetViews>
  <sheetFormatPr defaultColWidth="8.7109375" defaultRowHeight="12.75"/>
  <cols>
    <col min="1" max="1" width="8.7109375" style="101" customWidth="1"/>
    <col min="2" max="2" width="11.7109375" style="4" customWidth="1"/>
    <col min="3" max="3" width="36.7109375" style="93" customWidth="1"/>
    <col min="4" max="4" width="30.7109375" style="93" customWidth="1"/>
    <col min="5" max="5" width="6.7109375" style="4" customWidth="1"/>
    <col min="6" max="6" width="11.7109375" style="6" customWidth="1"/>
    <col min="7" max="7" width="16.7109375" style="8" customWidth="1"/>
    <col min="8" max="12" width="0" hidden="1" customWidth="1"/>
    <col min="13" max="13" width="18.7109375" style="10" customWidth="1"/>
  </cols>
  <sheetData>
    <row r="1" spans="1:13" ht="18.75" customHeight="1">
      <c r="A1" s="102" t="s">
        <v>833</v>
      </c>
    </row>
    <row r="2" spans="1:13" s="1" customFormat="1" ht="18.75" thickBot="1">
      <c r="B2" s="3"/>
      <c r="C2" s="90"/>
      <c r="D2" s="90"/>
      <c r="E2" s="3"/>
      <c r="F2" s="5"/>
      <c r="G2" s="7"/>
      <c r="M2" s="9"/>
    </row>
    <row r="3" spans="1:13" s="2" customFormat="1" ht="15.75" thickBot="1">
      <c r="A3" s="30" t="s">
        <v>131</v>
      </c>
      <c r="B3" s="31" t="s">
        <v>135</v>
      </c>
      <c r="C3" s="32" t="s">
        <v>133</v>
      </c>
      <c r="D3" s="32" t="s">
        <v>134</v>
      </c>
      <c r="E3" s="31" t="s">
        <v>136</v>
      </c>
      <c r="F3" s="33" t="s">
        <v>132</v>
      </c>
      <c r="G3" s="34" t="s">
        <v>137</v>
      </c>
      <c r="H3" s="34" t="s">
        <v>137</v>
      </c>
      <c r="I3" s="34" t="s">
        <v>137</v>
      </c>
      <c r="J3" s="34" t="s">
        <v>137</v>
      </c>
      <c r="K3" s="34" t="s">
        <v>137</v>
      </c>
      <c r="L3" s="34" t="s">
        <v>137</v>
      </c>
      <c r="M3" s="35" t="s">
        <v>165</v>
      </c>
    </row>
    <row r="4" spans="1:13" s="11" customFormat="1" ht="16.899999999999999" customHeight="1">
      <c r="A4" s="96" t="s">
        <v>138</v>
      </c>
      <c r="B4" s="26"/>
      <c r="C4" s="91"/>
      <c r="D4" s="91"/>
      <c r="E4" s="26"/>
      <c r="F4" s="27"/>
      <c r="G4" s="28"/>
      <c r="H4" s="29">
        <v>2495</v>
      </c>
      <c r="I4" s="29"/>
      <c r="J4" s="29"/>
      <c r="K4" s="29"/>
      <c r="L4" s="29"/>
      <c r="M4" s="28">
        <f>SUM(M5,M8)</f>
        <v>0</v>
      </c>
    </row>
    <row r="5" spans="1:13" s="11" customFormat="1" ht="16.899999999999999" customHeight="1">
      <c r="A5" s="97" t="s">
        <v>139</v>
      </c>
      <c r="B5" s="12"/>
      <c r="C5" s="92"/>
      <c r="D5" s="92"/>
      <c r="E5" s="12"/>
      <c r="F5" s="13"/>
      <c r="G5" s="14"/>
      <c r="H5" s="15">
        <v>2496</v>
      </c>
      <c r="I5" s="15"/>
      <c r="J5" s="15"/>
      <c r="K5" s="15"/>
      <c r="L5" s="15"/>
      <c r="M5" s="14">
        <f>SUM(M6:M7)</f>
        <v>0</v>
      </c>
    </row>
    <row r="6" spans="1:13" ht="25.5">
      <c r="A6" s="98" t="s">
        <v>140</v>
      </c>
      <c r="B6" s="16" t="s">
        <v>187</v>
      </c>
      <c r="C6" s="89" t="s">
        <v>219</v>
      </c>
      <c r="D6" s="438"/>
      <c r="E6" s="16" t="s">
        <v>188</v>
      </c>
      <c r="F6" s="115">
        <v>0.2</v>
      </c>
      <c r="G6" s="18"/>
      <c r="H6" s="19">
        <v>5865</v>
      </c>
      <c r="I6" s="19">
        <v>2496</v>
      </c>
      <c r="J6" s="19"/>
      <c r="K6" s="19">
        <v>12786</v>
      </c>
      <c r="L6" s="19"/>
      <c r="M6" s="18">
        <f>F6*G6</f>
        <v>0</v>
      </c>
    </row>
    <row r="7" spans="1:13" ht="25.5">
      <c r="A7" s="99" t="s">
        <v>141</v>
      </c>
      <c r="B7" s="20" t="s">
        <v>189</v>
      </c>
      <c r="C7" s="94" t="s">
        <v>220</v>
      </c>
      <c r="D7" s="438"/>
      <c r="E7" s="20" t="s">
        <v>190</v>
      </c>
      <c r="F7" s="115">
        <v>10</v>
      </c>
      <c r="G7" s="21"/>
      <c r="H7" s="19">
        <v>5866</v>
      </c>
      <c r="I7" s="19">
        <v>2496</v>
      </c>
      <c r="J7" s="19"/>
      <c r="K7" s="19">
        <v>12776</v>
      </c>
      <c r="L7" s="19"/>
      <c r="M7" s="18">
        <f>F7*G7</f>
        <v>0</v>
      </c>
    </row>
    <row r="8" spans="1:13" s="11" customFormat="1" ht="16.899999999999999" customHeight="1">
      <c r="A8" s="97" t="s">
        <v>143</v>
      </c>
      <c r="B8" s="12"/>
      <c r="C8" s="92"/>
      <c r="D8" s="92"/>
      <c r="E8" s="12"/>
      <c r="F8" s="121"/>
      <c r="G8" s="14"/>
      <c r="H8" s="15">
        <v>2497</v>
      </c>
      <c r="I8" s="15"/>
      <c r="J8" s="15"/>
      <c r="K8" s="15"/>
      <c r="L8" s="15"/>
      <c r="M8" s="14">
        <f>SUM(M9:M11)</f>
        <v>0</v>
      </c>
    </row>
    <row r="9" spans="1:13" ht="25.5">
      <c r="A9" s="109" t="s">
        <v>140</v>
      </c>
      <c r="B9" s="110" t="s">
        <v>109</v>
      </c>
      <c r="C9" s="111" t="s">
        <v>110</v>
      </c>
      <c r="D9" s="89"/>
      <c r="E9" s="110" t="s">
        <v>105</v>
      </c>
      <c r="F9" s="445">
        <v>763</v>
      </c>
      <c r="G9" s="21"/>
      <c r="H9" s="19">
        <v>5932</v>
      </c>
      <c r="I9" s="19">
        <v>2497</v>
      </c>
      <c r="J9" s="19"/>
      <c r="K9" s="19">
        <v>5065</v>
      </c>
      <c r="L9" s="19"/>
      <c r="M9" s="18">
        <f>F9*G9</f>
        <v>0</v>
      </c>
    </row>
    <row r="10" spans="1:13" ht="25.5">
      <c r="A10" s="109" t="s">
        <v>141</v>
      </c>
      <c r="B10" s="110" t="s">
        <v>111</v>
      </c>
      <c r="C10" s="111" t="s">
        <v>112</v>
      </c>
      <c r="D10" s="89"/>
      <c r="E10" s="110" t="s">
        <v>105</v>
      </c>
      <c r="F10" s="445">
        <f>F11*0.5</f>
        <v>33</v>
      </c>
      <c r="G10" s="21"/>
      <c r="H10" s="19">
        <v>5932</v>
      </c>
      <c r="I10" s="19">
        <v>2497</v>
      </c>
      <c r="J10" s="19"/>
      <c r="K10" s="19">
        <v>5065</v>
      </c>
      <c r="L10" s="19"/>
      <c r="M10" s="18">
        <f>F10*G10</f>
        <v>0</v>
      </c>
    </row>
    <row r="11" spans="1:13" ht="25.5">
      <c r="A11" s="109" t="s">
        <v>142</v>
      </c>
      <c r="B11" s="110" t="s">
        <v>113</v>
      </c>
      <c r="C11" s="111" t="s">
        <v>114</v>
      </c>
      <c r="D11" s="89"/>
      <c r="E11" s="110" t="s">
        <v>115</v>
      </c>
      <c r="F11" s="445">
        <v>66</v>
      </c>
      <c r="G11" s="21"/>
      <c r="H11" s="19">
        <v>5932</v>
      </c>
      <c r="I11" s="19">
        <v>2497</v>
      </c>
      <c r="J11" s="19"/>
      <c r="K11" s="19">
        <v>5065</v>
      </c>
      <c r="L11" s="19"/>
      <c r="M11" s="18">
        <f>F11*G11</f>
        <v>0</v>
      </c>
    </row>
    <row r="12" spans="1:13">
      <c r="A12" s="99"/>
      <c r="B12" s="110"/>
      <c r="C12" s="94"/>
      <c r="D12" s="89"/>
      <c r="E12" s="20"/>
      <c r="F12" s="22"/>
      <c r="G12" s="21"/>
      <c r="H12" s="19"/>
      <c r="I12" s="19"/>
      <c r="J12" s="19"/>
      <c r="K12" s="19"/>
      <c r="L12" s="19"/>
      <c r="M12" s="18"/>
    </row>
    <row r="13" spans="1:13" s="11" customFormat="1" ht="16.899999999999999" customHeight="1">
      <c r="A13" s="100" t="s">
        <v>148</v>
      </c>
      <c r="B13" s="23"/>
      <c r="C13" s="95"/>
      <c r="D13" s="92"/>
      <c r="E13" s="23"/>
      <c r="F13" s="24"/>
      <c r="G13" s="25"/>
      <c r="H13" s="15">
        <v>2499</v>
      </c>
      <c r="I13" s="15"/>
      <c r="J13" s="15"/>
      <c r="K13" s="15"/>
      <c r="L13" s="15"/>
      <c r="M13" s="14">
        <f>SUM(M14,M17)+M21+M19</f>
        <v>0</v>
      </c>
    </row>
    <row r="14" spans="1:13" s="11" customFormat="1" ht="16.899999999999999" customHeight="1">
      <c r="A14" s="100" t="s">
        <v>149</v>
      </c>
      <c r="B14" s="23"/>
      <c r="C14" s="95"/>
      <c r="D14" s="92"/>
      <c r="E14" s="23"/>
      <c r="F14" s="24"/>
      <c r="G14" s="25"/>
      <c r="H14" s="15">
        <v>2500</v>
      </c>
      <c r="I14" s="15"/>
      <c r="J14" s="15"/>
      <c r="K14" s="15"/>
      <c r="L14" s="15"/>
      <c r="M14" s="14">
        <f>SUM(M15:M16)</f>
        <v>0</v>
      </c>
    </row>
    <row r="15" spans="1:13" ht="25.5">
      <c r="A15" s="98" t="s">
        <v>140</v>
      </c>
      <c r="B15" s="107" t="s">
        <v>120</v>
      </c>
      <c r="C15" s="103" t="s">
        <v>218</v>
      </c>
      <c r="D15" s="103" t="s">
        <v>121</v>
      </c>
      <c r="E15" s="107" t="s">
        <v>108</v>
      </c>
      <c r="F15" s="115">
        <f>F6*1000*6*0.2</f>
        <v>240</v>
      </c>
      <c r="G15" s="18"/>
      <c r="H15" s="19">
        <v>5877</v>
      </c>
      <c r="I15" s="19">
        <v>2500</v>
      </c>
      <c r="J15" s="19"/>
      <c r="K15" s="19">
        <v>5648</v>
      </c>
      <c r="L15" s="19"/>
      <c r="M15" s="18">
        <f>F15*G15</f>
        <v>0</v>
      </c>
    </row>
    <row r="16" spans="1:13" ht="25.5">
      <c r="A16" s="99" t="s">
        <v>141</v>
      </c>
      <c r="B16" s="110" t="s">
        <v>122</v>
      </c>
      <c r="C16" s="111" t="s">
        <v>123</v>
      </c>
      <c r="D16" s="103"/>
      <c r="E16" s="110" t="s">
        <v>108</v>
      </c>
      <c r="F16" s="445">
        <f>F6*1000*2</f>
        <v>400</v>
      </c>
      <c r="G16" s="21"/>
      <c r="H16" s="19">
        <v>5879</v>
      </c>
      <c r="I16" s="19">
        <v>2500</v>
      </c>
      <c r="J16" s="19"/>
      <c r="K16" s="19">
        <v>4475</v>
      </c>
      <c r="L16" s="19" t="s">
        <v>150</v>
      </c>
      <c r="M16" s="18">
        <f>F16*G16</f>
        <v>0</v>
      </c>
    </row>
    <row r="17" spans="1:13" s="11" customFormat="1" ht="16.899999999999999" customHeight="1">
      <c r="A17" s="97" t="s">
        <v>151</v>
      </c>
      <c r="B17" s="12"/>
      <c r="C17" s="92"/>
      <c r="D17" s="92"/>
      <c r="E17" s="12"/>
      <c r="F17" s="121"/>
      <c r="G17" s="14"/>
      <c r="H17" s="15">
        <v>2501</v>
      </c>
      <c r="I17" s="15"/>
      <c r="J17" s="15"/>
      <c r="K17" s="15"/>
      <c r="L17" s="15"/>
      <c r="M17" s="14">
        <f>SUM(M18:M18)</f>
        <v>0</v>
      </c>
    </row>
    <row r="18" spans="1:13" ht="25.5">
      <c r="A18" s="98" t="s">
        <v>140</v>
      </c>
      <c r="B18" s="107" t="s">
        <v>124</v>
      </c>
      <c r="C18" s="89" t="s">
        <v>152</v>
      </c>
      <c r="D18" s="89"/>
      <c r="E18" s="107" t="s">
        <v>105</v>
      </c>
      <c r="F18" s="115">
        <f>F6*1000*5.2</f>
        <v>1040</v>
      </c>
      <c r="G18" s="18"/>
      <c r="H18" s="19">
        <v>5880</v>
      </c>
      <c r="I18" s="19">
        <v>2501</v>
      </c>
      <c r="J18" s="19"/>
      <c r="K18" s="19">
        <v>5917</v>
      </c>
      <c r="L18" s="19"/>
      <c r="M18" s="18">
        <f>F18*G18</f>
        <v>0</v>
      </c>
    </row>
    <row r="19" spans="1:13" s="11" customFormat="1" ht="16.899999999999999" customHeight="1">
      <c r="A19" s="97" t="s">
        <v>804</v>
      </c>
      <c r="B19" s="12"/>
      <c r="C19" s="92"/>
      <c r="D19" s="92"/>
      <c r="E19" s="12"/>
      <c r="F19" s="121"/>
      <c r="G19" s="14"/>
      <c r="H19" s="15">
        <v>2503</v>
      </c>
      <c r="I19" s="15"/>
      <c r="J19" s="15"/>
      <c r="K19" s="15"/>
      <c r="L19" s="15"/>
      <c r="M19" s="14">
        <f>SUM(M20)</f>
        <v>0</v>
      </c>
    </row>
    <row r="20" spans="1:13" ht="51">
      <c r="A20" s="112" t="s">
        <v>140</v>
      </c>
      <c r="B20" s="113" t="s">
        <v>215</v>
      </c>
      <c r="C20" s="114" t="s">
        <v>216</v>
      </c>
      <c r="D20" s="114"/>
      <c r="E20" s="125" t="s">
        <v>108</v>
      </c>
      <c r="F20" s="115">
        <f>F6*1000*0.24</f>
        <v>48</v>
      </c>
      <c r="G20" s="116"/>
      <c r="H20" s="117">
        <v>5886</v>
      </c>
      <c r="I20" s="117">
        <v>2503</v>
      </c>
      <c r="J20" s="117"/>
      <c r="K20" s="117">
        <v>6255</v>
      </c>
      <c r="L20" s="117"/>
      <c r="M20" s="116">
        <f>F20*G20</f>
        <v>0</v>
      </c>
    </row>
    <row r="21" spans="1:13" s="11" customFormat="1" ht="16.899999999999999" customHeight="1">
      <c r="A21" s="97" t="s">
        <v>805</v>
      </c>
      <c r="B21" s="12"/>
      <c r="C21" s="92"/>
      <c r="D21" s="92"/>
      <c r="E21" s="12"/>
      <c r="F21" s="13"/>
      <c r="G21" s="14"/>
      <c r="H21" s="15">
        <v>2503</v>
      </c>
      <c r="I21" s="15"/>
      <c r="J21" s="15"/>
      <c r="K21" s="15"/>
      <c r="L21" s="15"/>
      <c r="M21" s="14">
        <f>SUM(M22:M22)</f>
        <v>0</v>
      </c>
    </row>
    <row r="22" spans="1:13" ht="51">
      <c r="A22" s="112" t="s">
        <v>140</v>
      </c>
      <c r="B22" s="113" t="s">
        <v>130</v>
      </c>
      <c r="C22" s="114" t="s">
        <v>835</v>
      </c>
      <c r="D22" s="114"/>
      <c r="E22" s="325" t="s">
        <v>108</v>
      </c>
      <c r="F22" s="115">
        <f>F16-F20</f>
        <v>352</v>
      </c>
      <c r="G22" s="116"/>
      <c r="H22" s="117">
        <v>5886</v>
      </c>
      <c r="I22" s="117">
        <v>2503</v>
      </c>
      <c r="J22" s="117"/>
      <c r="K22" s="117">
        <v>6255</v>
      </c>
      <c r="L22" s="117"/>
      <c r="M22" s="116">
        <f>F22*G22</f>
        <v>0</v>
      </c>
    </row>
    <row r="23" spans="1:13">
      <c r="A23" s="98"/>
      <c r="B23" s="16"/>
      <c r="C23" s="89"/>
      <c r="D23" s="89"/>
      <c r="E23" s="16"/>
      <c r="F23" s="17"/>
      <c r="G23" s="18"/>
      <c r="H23" s="19"/>
      <c r="I23" s="19"/>
      <c r="J23" s="19"/>
      <c r="K23" s="19"/>
      <c r="L23" s="19"/>
      <c r="M23" s="18"/>
    </row>
    <row r="24" spans="1:13" s="11" customFormat="1" ht="16.899999999999999" customHeight="1">
      <c r="A24" s="97" t="s">
        <v>156</v>
      </c>
      <c r="B24" s="12"/>
      <c r="C24" s="92"/>
      <c r="D24" s="92"/>
      <c r="E24" s="12"/>
      <c r="F24" s="13"/>
      <c r="G24" s="14"/>
      <c r="H24" s="15">
        <v>2504</v>
      </c>
      <c r="I24" s="15"/>
      <c r="J24" s="15"/>
      <c r="K24" s="15"/>
      <c r="L24" s="15"/>
      <c r="M24" s="14">
        <f>SUM(M25,M29,M32)</f>
        <v>0</v>
      </c>
    </row>
    <row r="25" spans="1:13" s="11" customFormat="1" ht="16.899999999999999" customHeight="1">
      <c r="A25" s="97" t="s">
        <v>157</v>
      </c>
      <c r="B25" s="12"/>
      <c r="C25" s="92"/>
      <c r="D25" s="92"/>
      <c r="E25" s="12"/>
      <c r="F25" s="13"/>
      <c r="G25" s="14"/>
      <c r="H25" s="15">
        <v>2505</v>
      </c>
      <c r="I25" s="15"/>
      <c r="J25" s="15"/>
      <c r="K25" s="15"/>
      <c r="L25" s="15"/>
      <c r="M25" s="14">
        <f>SUM(M26:M28)</f>
        <v>0</v>
      </c>
    </row>
    <row r="26" spans="1:13" s="11" customFormat="1" ht="42.75" customHeight="1">
      <c r="A26" s="98" t="s">
        <v>140</v>
      </c>
      <c r="B26" s="107" t="s">
        <v>81</v>
      </c>
      <c r="C26" s="103" t="s">
        <v>335</v>
      </c>
      <c r="D26" s="103"/>
      <c r="E26" s="107" t="s">
        <v>108</v>
      </c>
      <c r="F26" s="115">
        <v>240</v>
      </c>
      <c r="G26" s="18"/>
      <c r="H26" s="19">
        <v>5882</v>
      </c>
      <c r="I26" s="19">
        <v>2502</v>
      </c>
      <c r="J26" s="19"/>
      <c r="K26" s="19">
        <v>6223</v>
      </c>
      <c r="L26" s="19"/>
      <c r="M26" s="18">
        <f>F26*G26</f>
        <v>0</v>
      </c>
    </row>
    <row r="27" spans="1:13" s="11" customFormat="1" ht="43.5" customHeight="1">
      <c r="A27" s="98" t="s">
        <v>141</v>
      </c>
      <c r="B27" s="107" t="s">
        <v>83</v>
      </c>
      <c r="C27" s="103" t="s">
        <v>84</v>
      </c>
      <c r="D27" s="103" t="s">
        <v>85</v>
      </c>
      <c r="E27" s="107" t="s">
        <v>108</v>
      </c>
      <c r="F27" s="115">
        <f>F6*1000*0.9</f>
        <v>180</v>
      </c>
      <c r="G27" s="18"/>
      <c r="H27" s="19">
        <v>5883</v>
      </c>
      <c r="I27" s="19">
        <v>2502</v>
      </c>
      <c r="J27" s="19"/>
      <c r="K27" s="19">
        <v>6180</v>
      </c>
      <c r="L27" s="19"/>
      <c r="M27" s="18">
        <f>F27*G27</f>
        <v>0</v>
      </c>
    </row>
    <row r="28" spans="1:13" ht="42" customHeight="1">
      <c r="A28" s="106" t="s">
        <v>142</v>
      </c>
      <c r="B28" s="107" t="s">
        <v>86</v>
      </c>
      <c r="C28" s="734" t="s">
        <v>834</v>
      </c>
      <c r="D28" s="89"/>
      <c r="E28" s="107" t="s">
        <v>105</v>
      </c>
      <c r="F28" s="115">
        <f>F6*1000*4.2</f>
        <v>840</v>
      </c>
      <c r="G28" s="18"/>
      <c r="H28" s="19">
        <v>5942</v>
      </c>
      <c r="I28" s="19">
        <v>2505</v>
      </c>
      <c r="J28" s="19"/>
      <c r="K28" s="19">
        <v>4074</v>
      </c>
      <c r="L28" s="19" t="s">
        <v>158</v>
      </c>
      <c r="M28" s="18">
        <f>F28*G28</f>
        <v>0</v>
      </c>
    </row>
    <row r="29" spans="1:13" s="11" customFormat="1" ht="16.899999999999999" customHeight="1">
      <c r="A29" s="97" t="s">
        <v>161</v>
      </c>
      <c r="B29" s="12"/>
      <c r="C29" s="92"/>
      <c r="D29" s="92"/>
      <c r="E29" s="12"/>
      <c r="F29" s="13"/>
      <c r="G29" s="14"/>
      <c r="H29" s="15">
        <v>2508</v>
      </c>
      <c r="I29" s="15"/>
      <c r="J29" s="15"/>
      <c r="K29" s="15"/>
      <c r="L29" s="15"/>
      <c r="M29" s="14">
        <f>SUM(M30:M30)</f>
        <v>0</v>
      </c>
    </row>
    <row r="30" spans="1:13" ht="25.5">
      <c r="A30" s="98" t="s">
        <v>140</v>
      </c>
      <c r="B30" s="107" t="s">
        <v>90</v>
      </c>
      <c r="C30" s="103" t="s">
        <v>91</v>
      </c>
      <c r="D30" s="438"/>
      <c r="E30" s="107" t="s">
        <v>105</v>
      </c>
      <c r="F30" s="115">
        <f>F6*1000*2*0.6*0.6</f>
        <v>144</v>
      </c>
      <c r="G30" s="18"/>
      <c r="H30" s="19">
        <v>5943</v>
      </c>
      <c r="I30" s="19">
        <v>2508</v>
      </c>
      <c r="J30" s="19"/>
      <c r="K30" s="19">
        <v>7359</v>
      </c>
      <c r="L30" s="19"/>
      <c r="M30" s="18">
        <f>F30*G30</f>
        <v>0</v>
      </c>
    </row>
    <row r="31" spans="1:13">
      <c r="A31" s="98"/>
      <c r="B31" s="107"/>
      <c r="C31" s="89"/>
      <c r="D31" s="103"/>
      <c r="E31" s="107"/>
      <c r="F31" s="17"/>
      <c r="G31" s="18"/>
      <c r="H31" s="19"/>
      <c r="I31" s="19"/>
      <c r="J31" s="19"/>
      <c r="K31" s="19"/>
      <c r="L31" s="19"/>
      <c r="M31" s="18"/>
    </row>
    <row r="32" spans="1:13" s="124" customFormat="1" ht="16.899999999999999" customHeight="1">
      <c r="A32" s="118" t="s">
        <v>13</v>
      </c>
      <c r="B32" s="119"/>
      <c r="C32" s="120"/>
      <c r="D32" s="120"/>
      <c r="E32" s="119"/>
      <c r="F32" s="121"/>
      <c r="G32" s="122"/>
      <c r="H32" s="123">
        <v>2508</v>
      </c>
      <c r="I32" s="123"/>
      <c r="J32" s="123"/>
      <c r="K32" s="123"/>
      <c r="L32" s="123"/>
      <c r="M32" s="122">
        <f>SUM(M33:M33)</f>
        <v>0</v>
      </c>
    </row>
    <row r="33" spans="1:16" s="126" customFormat="1" ht="66" customHeight="1">
      <c r="A33" s="112" t="s">
        <v>140</v>
      </c>
      <c r="B33" s="113" t="s">
        <v>103</v>
      </c>
      <c r="C33" s="439" t="s">
        <v>347</v>
      </c>
      <c r="D33" s="439" t="s">
        <v>345</v>
      </c>
      <c r="E33" s="113" t="s">
        <v>115</v>
      </c>
      <c r="F33" s="115">
        <v>24</v>
      </c>
      <c r="G33" s="116"/>
      <c r="H33" s="117">
        <v>5943</v>
      </c>
      <c r="I33" s="117">
        <v>2508</v>
      </c>
      <c r="J33" s="117"/>
      <c r="K33" s="117">
        <v>7359</v>
      </c>
      <c r="L33" s="117"/>
      <c r="M33" s="116">
        <f>F33*G33</f>
        <v>0</v>
      </c>
    </row>
    <row r="34" spans="1:16" s="126" customFormat="1">
      <c r="A34" s="112"/>
      <c r="B34" s="113"/>
      <c r="C34" s="114"/>
      <c r="D34" s="447"/>
      <c r="E34" s="113"/>
      <c r="F34" s="115"/>
      <c r="G34" s="116"/>
      <c r="H34" s="117"/>
      <c r="I34" s="117"/>
      <c r="J34" s="117"/>
      <c r="K34" s="117"/>
      <c r="L34" s="117"/>
      <c r="M34" s="116"/>
    </row>
    <row r="35" spans="1:16" s="124" customFormat="1" ht="16.899999999999999" customHeight="1">
      <c r="A35" s="118" t="s">
        <v>183</v>
      </c>
      <c r="B35" s="119"/>
      <c r="C35" s="120"/>
      <c r="D35" s="120"/>
      <c r="E35" s="119"/>
      <c r="F35" s="121"/>
      <c r="G35" s="122"/>
      <c r="H35" s="123">
        <v>2702</v>
      </c>
      <c r="I35" s="123"/>
      <c r="J35" s="123"/>
      <c r="K35" s="123"/>
      <c r="L35" s="123"/>
      <c r="M35" s="122">
        <f>M36+M39</f>
        <v>0</v>
      </c>
    </row>
    <row r="36" spans="1:16" s="124" customFormat="1" ht="16.899999999999999" customHeight="1">
      <c r="A36" s="118" t="s">
        <v>9</v>
      </c>
      <c r="B36" s="119"/>
      <c r="C36" s="120"/>
      <c r="D36" s="120"/>
      <c r="E36" s="119"/>
      <c r="F36" s="121"/>
      <c r="G36" s="122"/>
      <c r="H36" s="123">
        <v>2704</v>
      </c>
      <c r="I36" s="123"/>
      <c r="J36" s="123"/>
      <c r="K36" s="123"/>
      <c r="L36" s="123"/>
      <c r="M36" s="122">
        <f>SUM(M37:M37)</f>
        <v>0</v>
      </c>
    </row>
    <row r="37" spans="1:16" s="126" customFormat="1" ht="135.75" customHeight="1">
      <c r="A37" s="112" t="s">
        <v>142</v>
      </c>
      <c r="B37" s="113" t="s">
        <v>203</v>
      </c>
      <c r="C37" s="447" t="s">
        <v>449</v>
      </c>
      <c r="D37" s="439" t="s">
        <v>450</v>
      </c>
      <c r="E37" s="452" t="s">
        <v>60</v>
      </c>
      <c r="F37" s="115">
        <v>48</v>
      </c>
      <c r="G37" s="116"/>
      <c r="H37" s="117"/>
      <c r="I37" s="117"/>
      <c r="J37" s="117"/>
      <c r="K37" s="117"/>
      <c r="L37" s="117"/>
      <c r="M37" s="116">
        <f t="shared" ref="M37" si="0">F37*G37</f>
        <v>0</v>
      </c>
    </row>
    <row r="38" spans="1:16" s="126" customFormat="1" ht="17.25" customHeight="1">
      <c r="A38" s="127"/>
      <c r="B38" s="125"/>
      <c r="C38" s="114"/>
      <c r="D38" s="114"/>
      <c r="E38" s="125"/>
      <c r="F38" s="115"/>
      <c r="G38" s="116"/>
      <c r="H38" s="117"/>
      <c r="I38" s="117"/>
      <c r="J38" s="117"/>
      <c r="K38" s="117"/>
      <c r="L38" s="117"/>
      <c r="M38" s="116"/>
    </row>
    <row r="39" spans="1:16" s="124" customFormat="1" ht="16.899999999999999" customHeight="1">
      <c r="A39" s="118" t="s">
        <v>10</v>
      </c>
      <c r="B39" s="119"/>
      <c r="C39" s="120"/>
      <c r="D39" s="120"/>
      <c r="E39" s="119"/>
      <c r="F39" s="121"/>
      <c r="G39" s="122"/>
      <c r="H39" s="123">
        <v>2705</v>
      </c>
      <c r="I39" s="123"/>
      <c r="J39" s="123"/>
      <c r="K39" s="123"/>
      <c r="L39" s="123"/>
      <c r="M39" s="122">
        <f>SUM(M40:M42)</f>
        <v>0</v>
      </c>
    </row>
    <row r="40" spans="1:16" s="126" customFormat="1" ht="38.25">
      <c r="A40" s="112" t="s">
        <v>140</v>
      </c>
      <c r="B40" s="125" t="s">
        <v>104</v>
      </c>
      <c r="C40" s="114" t="s">
        <v>200</v>
      </c>
      <c r="D40" s="114"/>
      <c r="E40" s="125" t="s">
        <v>190</v>
      </c>
      <c r="F40" s="115">
        <v>3</v>
      </c>
      <c r="G40" s="116"/>
      <c r="H40" s="117">
        <v>6482</v>
      </c>
      <c r="I40" s="117">
        <v>2704</v>
      </c>
      <c r="J40" s="117"/>
      <c r="K40" s="117">
        <v>10613</v>
      </c>
      <c r="L40" s="117"/>
      <c r="M40" s="116">
        <f>F40*G40</f>
        <v>0</v>
      </c>
    </row>
    <row r="41" spans="1:16" s="126" customFormat="1" ht="38.25">
      <c r="A41" s="112" t="s">
        <v>141</v>
      </c>
      <c r="B41" s="125" t="s">
        <v>360</v>
      </c>
      <c r="C41" s="114" t="s">
        <v>353</v>
      </c>
      <c r="D41" s="114"/>
      <c r="E41" s="125" t="s">
        <v>190</v>
      </c>
      <c r="F41" s="115">
        <f>F40</f>
        <v>3</v>
      </c>
      <c r="G41" s="116"/>
      <c r="H41" s="117">
        <v>6485</v>
      </c>
      <c r="I41" s="117">
        <v>2704</v>
      </c>
      <c r="J41" s="117"/>
      <c r="K41" s="117">
        <v>10647</v>
      </c>
      <c r="L41" s="117"/>
      <c r="M41" s="116">
        <f>F41*G41</f>
        <v>0</v>
      </c>
    </row>
    <row r="42" spans="1:16" s="126" customFormat="1">
      <c r="A42" s="112" t="s">
        <v>144</v>
      </c>
      <c r="B42" s="125"/>
      <c r="C42" s="114" t="s">
        <v>12</v>
      </c>
      <c r="D42" s="439"/>
      <c r="E42" s="125" t="s">
        <v>190</v>
      </c>
      <c r="F42" s="115">
        <f>F40</f>
        <v>3</v>
      </c>
      <c r="G42" s="116"/>
      <c r="H42" s="117">
        <v>6485</v>
      </c>
      <c r="I42" s="117">
        <v>2704</v>
      </c>
      <c r="J42" s="117"/>
      <c r="K42" s="117">
        <v>10647</v>
      </c>
      <c r="L42" s="117"/>
      <c r="M42" s="116">
        <f>F42*G42</f>
        <v>0</v>
      </c>
    </row>
    <row r="43" spans="1:16">
      <c r="A43" s="98"/>
      <c r="B43" s="16"/>
      <c r="C43" s="89"/>
      <c r="D43" s="89"/>
      <c r="E43" s="16"/>
      <c r="F43" s="17"/>
      <c r="G43" s="18"/>
      <c r="H43" s="19"/>
      <c r="I43" s="19"/>
      <c r="J43" s="19"/>
      <c r="K43" s="19"/>
      <c r="L43" s="19"/>
      <c r="M43" s="18"/>
    </row>
    <row r="44" spans="1:16">
      <c r="P44" s="108"/>
    </row>
    <row r="45" spans="1:16">
      <c r="P45" s="108"/>
    </row>
    <row r="46" spans="1:16">
      <c r="P46" s="108"/>
    </row>
    <row r="47" spans="1:16">
      <c r="P47" s="108"/>
    </row>
  </sheetData>
  <pageMargins left="0.70866141732283472" right="0.70866141732283472" top="0.74803149606299213" bottom="0.74803149606299213" header="0.31496062992125984" footer="0.31496062992125984"/>
  <pageSetup paperSize="9" scale="62" orientation="portrait" r:id="rId1"/>
  <headerFooter>
    <oddHeader>&amp;CProjekt Dolenje in Gorenje Ponikve:
Kanalizacija, rekonstrukcija vodovoda in pločnik med naseljema</oddHeader>
    <oddFooter>&amp;R&amp;P/&amp;N</oddFooter>
  </headerFooter>
  <rowBreaks count="1" manualBreakCount="1">
    <brk id="23"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3:O14"/>
  <sheetViews>
    <sheetView view="pageBreakPreview" zoomScale="120" zoomScaleSheetLayoutView="120" workbookViewId="0">
      <selection activeCell="D9" sqref="D9"/>
    </sheetView>
  </sheetViews>
  <sheetFormatPr defaultColWidth="8.7109375" defaultRowHeight="12.75"/>
  <cols>
    <col min="1" max="1" width="11.7109375" style="50" customWidth="1"/>
    <col min="2" max="2" width="31.7109375" style="50" customWidth="1"/>
    <col min="3" max="3" width="13.42578125" style="50" customWidth="1"/>
    <col min="4" max="4" width="26.42578125" style="50" customWidth="1"/>
    <col min="5" max="16384" width="8.7109375" style="50"/>
  </cols>
  <sheetData>
    <row r="3" spans="1:15" ht="19.899999999999999" customHeight="1" thickBot="1">
      <c r="A3" s="88" t="s">
        <v>47</v>
      </c>
      <c r="B3" s="87"/>
      <c r="C3" s="86"/>
      <c r="D3" s="85"/>
      <c r="E3" s="72"/>
      <c r="F3" s="71"/>
      <c r="G3" s="70"/>
      <c r="H3" s="69"/>
      <c r="I3" s="69"/>
      <c r="J3" s="69"/>
      <c r="K3" s="69"/>
      <c r="L3" s="69"/>
      <c r="M3" s="70"/>
      <c r="N3" s="55"/>
      <c r="O3" s="55"/>
    </row>
    <row r="4" spans="1:15" ht="19.899999999999999" customHeight="1">
      <c r="A4" s="84" t="s">
        <v>179</v>
      </c>
      <c r="B4" s="83" t="s">
        <v>178</v>
      </c>
      <c r="C4" s="82"/>
      <c r="D4" s="81">
        <f>'K1.0'!J17+'K2.0'!J17+'T2.0'!J17+'T1.0'!J17+'K1.1'!J17+'K1.1.1'!J17+'K1.2'!J17+'K1.2.1'!J17+'K1.2.2'!J17+'K1.3'!J17+'K2.1'!J17+'K2.1.1'!J17+'K2.2'!J17+'K2.2.1'!J17</f>
        <v>0</v>
      </c>
      <c r="E4" s="72"/>
      <c r="F4" s="71"/>
      <c r="G4" s="70"/>
      <c r="H4" s="69"/>
      <c r="I4" s="69"/>
      <c r="J4" s="69"/>
      <c r="K4" s="69"/>
      <c r="L4" s="69"/>
      <c r="M4" s="68"/>
      <c r="N4" s="55"/>
      <c r="O4" s="55"/>
    </row>
    <row r="5" spans="1:15" ht="19.899999999999999" customHeight="1">
      <c r="A5" s="80" t="s">
        <v>177</v>
      </c>
      <c r="B5" s="79" t="s">
        <v>37</v>
      </c>
      <c r="C5" s="78"/>
      <c r="D5" s="77">
        <f>'K1.0'!J39+'K2.0'!J28+'T2.0'!J36+'T1.0'!J44+'K1.1'!J38+'K1.1.1'!J34+'K1.2'!J38+'K1.2.1'!J37+'K1.2.2'!J37+'K1.3'!J41+'K2.1'!J40+'K2.1.1'!J41+'K2.2'!J41+'K2.2.1'!J41</f>
        <v>0</v>
      </c>
      <c r="E5" s="72"/>
      <c r="F5" s="71"/>
      <c r="G5" s="70"/>
      <c r="H5" s="69"/>
      <c r="I5" s="69"/>
      <c r="J5" s="69"/>
      <c r="K5" s="69"/>
      <c r="L5" s="69"/>
      <c r="M5" s="68"/>
      <c r="N5" s="55"/>
      <c r="O5" s="55"/>
    </row>
    <row r="6" spans="1:15" ht="19.899999999999999" customHeight="1">
      <c r="A6" s="76" t="s">
        <v>175</v>
      </c>
      <c r="B6" s="75" t="s">
        <v>38</v>
      </c>
      <c r="C6" s="74"/>
      <c r="D6" s="73">
        <f>'K1.0'!J53+'K2.0'!J39+'T2.0'!J48+'T1.0'!J67+'K1.1'!J52+'K1.1.1'!J48+'K1.2'!J52+'K1.2.1'!J51+'K1.2.2'!J51+'K1.3'!J55+'K2.1'!J54+'K2.1.1'!J55+'K2.2'!J54+'K2.2.1'!J55</f>
        <v>0</v>
      </c>
      <c r="E6" s="72"/>
      <c r="F6" s="71"/>
      <c r="G6" s="70"/>
      <c r="H6" s="69"/>
      <c r="I6" s="69"/>
      <c r="J6" s="69"/>
      <c r="K6" s="69"/>
      <c r="L6" s="69"/>
      <c r="M6" s="68"/>
      <c r="N6" s="55"/>
      <c r="O6" s="55"/>
    </row>
    <row r="7" spans="1:15" ht="19.899999999999999" customHeight="1">
      <c r="A7" s="76" t="s">
        <v>185</v>
      </c>
      <c r="B7" s="75" t="s">
        <v>39</v>
      </c>
      <c r="C7" s="74"/>
      <c r="D7" s="73">
        <f>'K1.0'!J65+'K2.0'!J51+'T2.0'!J59+'T1.0'!J78+'K1.1'!J64+'K1.1.1'!J60+'K1.2'!J64+'K1.2.1'!J63+'K1.2.2'!J63+'K1.3'!J67+'K2.1'!J66+'K2.1.1'!J67+'K2.2'!J66+'K2.2.1'!J67</f>
        <v>0</v>
      </c>
      <c r="E7" s="72"/>
      <c r="F7" s="71"/>
      <c r="G7" s="70"/>
      <c r="H7" s="69"/>
      <c r="I7" s="69"/>
      <c r="J7" s="69"/>
      <c r="K7" s="69"/>
      <c r="L7" s="69"/>
      <c r="M7" s="68"/>
      <c r="N7" s="55"/>
      <c r="O7" s="55"/>
    </row>
    <row r="8" spans="1:15" ht="19.899999999999999" customHeight="1" thickBot="1">
      <c r="A8" s="128" t="s">
        <v>102</v>
      </c>
      <c r="B8" s="129" t="s">
        <v>50</v>
      </c>
      <c r="C8" s="130"/>
      <c r="D8" s="131">
        <f>SUM(D4:D7)*0.1</f>
        <v>0</v>
      </c>
      <c r="E8" s="72"/>
      <c r="F8" s="71"/>
      <c r="G8" s="70"/>
      <c r="H8" s="69"/>
      <c r="I8" s="69"/>
      <c r="J8" s="69"/>
      <c r="K8" s="69"/>
      <c r="L8" s="69"/>
      <c r="M8" s="68"/>
      <c r="N8" s="55"/>
      <c r="O8" s="55"/>
    </row>
    <row r="9" spans="1:15" s="59" customFormat="1" ht="19.899999999999999" customHeight="1">
      <c r="A9" s="67" t="s">
        <v>169</v>
      </c>
      <c r="B9" s="66"/>
      <c r="C9" s="60"/>
      <c r="D9" s="65">
        <f>SUM(D4:D8)</f>
        <v>0</v>
      </c>
      <c r="E9" s="64"/>
      <c r="F9" s="63"/>
      <c r="G9" s="61"/>
      <c r="H9" s="62"/>
      <c r="I9" s="62"/>
      <c r="J9" s="62"/>
      <c r="K9" s="62"/>
      <c r="L9" s="62"/>
      <c r="M9" s="61"/>
      <c r="N9" s="60"/>
      <c r="O9" s="60"/>
    </row>
    <row r="10" spans="1:15" ht="19.899999999999999" customHeight="1">
      <c r="A10" s="58" t="s">
        <v>180</v>
      </c>
      <c r="B10" s="57"/>
      <c r="C10" s="57"/>
      <c r="D10" s="56">
        <f>D9*0.22</f>
        <v>0</v>
      </c>
      <c r="F10" s="55"/>
      <c r="G10" s="55"/>
      <c r="H10" s="55"/>
      <c r="I10" s="55"/>
      <c r="J10" s="55"/>
      <c r="K10" s="55"/>
      <c r="L10" s="55"/>
      <c r="M10" s="55"/>
      <c r="N10" s="55"/>
      <c r="O10" s="55"/>
    </row>
    <row r="11" spans="1:15" ht="19.899999999999999" customHeight="1" thickBot="1">
      <c r="A11" s="54" t="s">
        <v>168</v>
      </c>
      <c r="B11" s="53"/>
      <c r="C11" s="53"/>
      <c r="D11" s="52">
        <f>D9*1.22</f>
        <v>0</v>
      </c>
    </row>
    <row r="12" spans="1:15" ht="13.5" thickTop="1"/>
    <row r="14" spans="1:15">
      <c r="D14" s="51"/>
    </row>
  </sheetData>
  <phoneticPr fontId="31" type="noConversion"/>
  <pageMargins left="0.70866141732283472" right="0.70866141732283472" top="0.74803149606299213" bottom="0.74803149606299213" header="0.31496062992125984" footer="0.31496062992125984"/>
  <pageSetup paperSize="9" orientation="portrait" r:id="rId1"/>
  <headerFooter>
    <oddHeader>&amp;CProjekt Dolenje in Gorenje Ponikve:
Kanalizacija, rekonstrukcija vodovoda in pločnik med naseljema</oddHeader>
    <oddFooter>&amp;R&amp;P/&amp;N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285"/>
  <sheetViews>
    <sheetView view="pageBreakPreview" topLeftCell="A22" zoomScale="130" zoomScaleSheetLayoutView="130" workbookViewId="0">
      <selection activeCell="H64" sqref="H64"/>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41</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v>311.7</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v>15</v>
      </c>
      <c r="G11" s="167"/>
      <c r="H11" s="176"/>
      <c r="I11" s="163"/>
      <c r="J11" s="176">
        <f>F11*H11</f>
        <v>0</v>
      </c>
      <c r="K11" s="136"/>
      <c r="L11" s="136" t="s">
        <v>388</v>
      </c>
      <c r="N11">
        <v>0</v>
      </c>
      <c r="O11">
        <v>53.9</v>
      </c>
      <c r="P11">
        <v>0</v>
      </c>
      <c r="Q11">
        <v>1582.11</v>
      </c>
      <c r="R11">
        <v>1399.1</v>
      </c>
      <c r="S11">
        <v>181.96</v>
      </c>
      <c r="T11">
        <v>1.05</v>
      </c>
      <c r="U11">
        <v>0</v>
      </c>
      <c r="V11">
        <v>0</v>
      </c>
      <c r="W11">
        <v>1566.81</v>
      </c>
      <c r="X11">
        <v>1177.9000000000001</v>
      </c>
      <c r="Y11">
        <v>206.62</v>
      </c>
      <c r="Z11">
        <v>150.13999999999999</v>
      </c>
      <c r="AA11">
        <v>32.15</v>
      </c>
      <c r="AB11">
        <v>1177.9000000000001</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5</v>
      </c>
      <c r="G13" s="167"/>
      <c r="H13" s="176"/>
      <c r="I13" s="182"/>
      <c r="J13" s="176">
        <f>F13*H13</f>
        <v>0</v>
      </c>
      <c r="K13" s="136"/>
      <c r="L13" s="136" t="s">
        <v>179</v>
      </c>
      <c r="M13" t="s">
        <v>389</v>
      </c>
      <c r="N13">
        <v>1</v>
      </c>
      <c r="O13" t="s">
        <v>390</v>
      </c>
      <c r="P13" t="s">
        <v>391</v>
      </c>
      <c r="Q13">
        <v>1000</v>
      </c>
      <c r="R13">
        <v>1</v>
      </c>
    </row>
    <row r="14" spans="1:28" ht="14.25">
      <c r="A14" s="172"/>
      <c r="B14" s="173"/>
      <c r="C14" s="173"/>
      <c r="D14" s="165"/>
      <c r="E14" s="165"/>
      <c r="F14" s="166"/>
      <c r="G14" s="167"/>
      <c r="H14" s="168"/>
      <c r="I14" s="182"/>
      <c r="J14" s="168"/>
      <c r="K14" s="136"/>
      <c r="L14" s="136" t="s">
        <v>177</v>
      </c>
      <c r="M14" t="s">
        <v>389</v>
      </c>
      <c r="N14">
        <v>11</v>
      </c>
      <c r="O14" t="s">
        <v>392</v>
      </c>
      <c r="P14" t="s">
        <v>391</v>
      </c>
      <c r="Q14">
        <v>1000</v>
      </c>
      <c r="R14">
        <v>11</v>
      </c>
    </row>
    <row r="15" spans="1:28" ht="14.25">
      <c r="A15" s="172" t="s">
        <v>67</v>
      </c>
      <c r="B15" s="173" t="s">
        <v>74</v>
      </c>
      <c r="C15" s="173"/>
      <c r="D15" s="174" t="s">
        <v>190</v>
      </c>
      <c r="E15" s="165"/>
      <c r="F15" s="175">
        <v>1</v>
      </c>
      <c r="G15" s="167"/>
      <c r="H15" s="176"/>
      <c r="I15" s="182"/>
      <c r="J15" s="176">
        <f>F15*H15</f>
        <v>0</v>
      </c>
      <c r="K15" s="136"/>
      <c r="L15" s="136" t="s">
        <v>175</v>
      </c>
      <c r="M15" t="s">
        <v>389</v>
      </c>
      <c r="N15">
        <v>3</v>
      </c>
      <c r="O15" t="s">
        <v>393</v>
      </c>
      <c r="P15" t="s">
        <v>391</v>
      </c>
      <c r="Q15">
        <v>1000</v>
      </c>
      <c r="R15">
        <v>3</v>
      </c>
    </row>
    <row r="16" spans="1:28" ht="14.25">
      <c r="A16" s="172"/>
      <c r="B16" s="173"/>
      <c r="C16" s="173"/>
      <c r="D16" s="165"/>
      <c r="E16" s="165"/>
      <c r="F16" s="166"/>
      <c r="G16" s="167"/>
      <c r="H16" s="168"/>
      <c r="I16" s="182"/>
      <c r="J16" s="168"/>
      <c r="K16" s="136"/>
      <c r="L16" s="136"/>
    </row>
    <row r="17" spans="1:17" ht="15" thickBot="1">
      <c r="A17" s="183"/>
      <c r="B17" s="184" t="s">
        <v>75</v>
      </c>
      <c r="C17" s="184"/>
      <c r="D17" s="185"/>
      <c r="E17" s="185"/>
      <c r="F17" s="186"/>
      <c r="G17" s="185"/>
      <c r="H17" s="187"/>
      <c r="I17" s="188"/>
      <c r="J17" s="189">
        <f>SUM(J9:J15)</f>
        <v>0</v>
      </c>
      <c r="K17" s="136"/>
      <c r="L17" s="136"/>
    </row>
    <row r="18" spans="1:17" ht="15" thickTop="1">
      <c r="A18" s="190"/>
      <c r="B18" s="191"/>
      <c r="C18" s="191"/>
      <c r="D18" s="192"/>
      <c r="E18" s="192"/>
      <c r="F18" s="165"/>
      <c r="G18" s="192"/>
      <c r="H18" s="193"/>
      <c r="I18" s="182"/>
      <c r="J18" s="194"/>
      <c r="K18" s="136"/>
      <c r="L18" s="136" t="s">
        <v>221</v>
      </c>
      <c r="N18" t="s">
        <v>239</v>
      </c>
      <c r="P18" t="s">
        <v>238</v>
      </c>
      <c r="Q18" s="450" t="s">
        <v>394</v>
      </c>
    </row>
    <row r="19" spans="1:17" ht="14.25">
      <c r="A19" s="190"/>
      <c r="B19" s="191"/>
      <c r="C19" s="191"/>
      <c r="D19" s="192"/>
      <c r="E19" s="192"/>
      <c r="F19" s="165"/>
      <c r="G19" s="192"/>
      <c r="H19" s="193"/>
      <c r="I19" s="182"/>
      <c r="J19" s="194"/>
      <c r="K19" s="136"/>
      <c r="L19" s="136" t="s">
        <v>240</v>
      </c>
      <c r="N19">
        <v>311.7</v>
      </c>
      <c r="P19">
        <v>235.4</v>
      </c>
      <c r="Q19">
        <v>311.7</v>
      </c>
    </row>
    <row r="20" spans="1:17" ht="15">
      <c r="A20" s="195" t="s">
        <v>61</v>
      </c>
      <c r="B20" s="196" t="s">
        <v>76</v>
      </c>
      <c r="C20" s="196"/>
      <c r="D20" s="160"/>
      <c r="E20" s="160"/>
      <c r="F20" s="170"/>
      <c r="G20" s="171"/>
      <c r="H20" s="197"/>
      <c r="I20" s="180"/>
      <c r="J20" s="198"/>
      <c r="K20" s="136"/>
      <c r="L20" s="136"/>
    </row>
    <row r="21" spans="1:17" ht="15">
      <c r="A21" s="195"/>
      <c r="B21" s="196"/>
      <c r="C21" s="196"/>
      <c r="D21" s="160"/>
      <c r="E21" s="160"/>
      <c r="F21" s="170"/>
      <c r="G21" s="171"/>
      <c r="H21" s="197"/>
      <c r="I21" s="180"/>
      <c r="J21" s="198"/>
      <c r="K21" s="136"/>
      <c r="L21" s="136"/>
    </row>
    <row r="22" spans="1:17" ht="15">
      <c r="A22" s="195"/>
      <c r="B22" s="196"/>
      <c r="C22" s="196"/>
      <c r="D22" s="160"/>
      <c r="E22" s="160"/>
      <c r="F22" s="170"/>
      <c r="G22" s="171"/>
      <c r="H22" s="197"/>
      <c r="I22" s="180"/>
      <c r="J22" s="198"/>
      <c r="K22" s="136"/>
      <c r="L22" s="136"/>
    </row>
    <row r="23" spans="1:17" ht="51">
      <c r="A23" s="203" t="s">
        <v>61</v>
      </c>
      <c r="B23" s="204" t="s">
        <v>22</v>
      </c>
      <c r="C23" s="205"/>
      <c r="D23" s="206"/>
      <c r="E23" s="206"/>
      <c r="F23" s="207"/>
      <c r="G23" s="208"/>
      <c r="H23" s="209"/>
      <c r="I23" s="180"/>
      <c r="J23" s="194"/>
      <c r="K23" s="136"/>
      <c r="L23" s="136"/>
    </row>
    <row r="24" spans="1:17" ht="15.75">
      <c r="A24" s="210"/>
      <c r="B24" s="205" t="s">
        <v>78</v>
      </c>
      <c r="C24" s="205"/>
      <c r="D24" s="211" t="s">
        <v>108</v>
      </c>
      <c r="E24" s="206"/>
      <c r="F24" s="212">
        <f>(680*10.5+171.46)*0.33*0.5*0.95</f>
        <v>1146.071355</v>
      </c>
      <c r="G24" s="208"/>
      <c r="H24" s="213"/>
      <c r="I24" s="180"/>
      <c r="J24" s="202">
        <f>F24*H24</f>
        <v>0</v>
      </c>
      <c r="K24" s="136"/>
      <c r="L24" s="136"/>
    </row>
    <row r="25" spans="1:17" ht="14.25">
      <c r="A25" s="203"/>
      <c r="B25" s="205" t="s">
        <v>79</v>
      </c>
      <c r="C25" s="205"/>
      <c r="D25" s="211" t="s">
        <v>108</v>
      </c>
      <c r="E25" s="206"/>
      <c r="F25" s="212">
        <f>(680*10.5+171.46)*0.33*0.5*0.05</f>
        <v>60.319545000000005</v>
      </c>
      <c r="G25" s="208"/>
      <c r="H25" s="213"/>
      <c r="I25" s="180"/>
      <c r="J25" s="202">
        <f>F25*H25</f>
        <v>0</v>
      </c>
      <c r="K25" s="136"/>
      <c r="L25" s="136"/>
    </row>
    <row r="26" spans="1:17" ht="14.25">
      <c r="A26" s="203"/>
      <c r="B26" s="173"/>
      <c r="C26" s="205"/>
      <c r="D26" s="214"/>
      <c r="E26" s="206"/>
      <c r="F26" s="207"/>
      <c r="G26" s="208"/>
      <c r="H26" s="215"/>
      <c r="I26" s="180"/>
      <c r="J26" s="194"/>
      <c r="K26" s="199"/>
      <c r="L26" s="199"/>
      <c r="N26" s="200"/>
      <c r="O26" s="200"/>
    </row>
    <row r="27" spans="1:17" ht="14.25">
      <c r="A27" s="172"/>
      <c r="B27" s="173"/>
      <c r="C27" s="173"/>
      <c r="D27" s="165"/>
      <c r="E27" s="160"/>
      <c r="F27" s="222"/>
      <c r="G27" s="223"/>
      <c r="H27" s="215"/>
      <c r="I27" s="180"/>
      <c r="J27" s="194"/>
      <c r="K27" s="199"/>
      <c r="L27" s="199"/>
      <c r="N27" s="200"/>
      <c r="O27" s="200"/>
    </row>
    <row r="28" spans="1:17" ht="51">
      <c r="A28" s="172" t="s">
        <v>67</v>
      </c>
      <c r="B28" s="224" t="s">
        <v>80</v>
      </c>
      <c r="C28" s="225"/>
      <c r="D28" s="174" t="s">
        <v>108</v>
      </c>
      <c r="E28" s="160"/>
      <c r="F28" s="175">
        <v>32.15</v>
      </c>
      <c r="G28" s="167"/>
      <c r="H28" s="213"/>
      <c r="I28" s="169"/>
      <c r="J28" s="202">
        <f>F28*H28</f>
        <v>0</v>
      </c>
      <c r="K28" s="200"/>
      <c r="L28" s="199"/>
      <c r="M28" s="200"/>
    </row>
    <row r="29" spans="1:17" ht="14.25">
      <c r="A29" s="172"/>
      <c r="B29" s="224"/>
      <c r="C29" s="225"/>
      <c r="D29" s="160"/>
      <c r="E29" s="160"/>
      <c r="F29" s="166"/>
      <c r="G29" s="167"/>
      <c r="H29" s="215"/>
      <c r="I29" s="169"/>
      <c r="J29" s="194"/>
      <c r="K29" s="200"/>
      <c r="L29" s="199"/>
      <c r="M29" s="200"/>
    </row>
    <row r="30" spans="1:17" ht="38.25">
      <c r="A30" s="172" t="s">
        <v>68</v>
      </c>
      <c r="B30" s="173" t="s">
        <v>24</v>
      </c>
      <c r="C30" s="225"/>
      <c r="D30" s="174" t="s">
        <v>108</v>
      </c>
      <c r="E30" s="160"/>
      <c r="F30" s="175">
        <v>150.13999999999999</v>
      </c>
      <c r="G30" s="167"/>
      <c r="H30" s="213"/>
      <c r="I30" s="169"/>
      <c r="J30" s="202">
        <f>F30*H30</f>
        <v>0</v>
      </c>
      <c r="K30" s="200"/>
      <c r="L30" s="199"/>
      <c r="M30" s="200"/>
    </row>
    <row r="31" spans="1:17" ht="14.25">
      <c r="A31" s="172"/>
      <c r="B31" s="173"/>
      <c r="C31" s="225"/>
      <c r="D31" s="165"/>
      <c r="E31" s="160"/>
      <c r="F31" s="166"/>
      <c r="G31" s="167"/>
      <c r="H31" s="215"/>
      <c r="I31" s="169"/>
      <c r="J31" s="194"/>
      <c r="K31" s="200"/>
      <c r="L31" s="199"/>
      <c r="M31" s="200"/>
    </row>
    <row r="32" spans="1:17" ht="76.5">
      <c r="A32" s="172" t="s">
        <v>69</v>
      </c>
      <c r="B32" s="224" t="s">
        <v>25</v>
      </c>
      <c r="C32" s="226"/>
      <c r="D32" s="179"/>
      <c r="E32" s="179"/>
      <c r="F32" s="166"/>
      <c r="G32" s="167"/>
      <c r="H32" s="198"/>
      <c r="I32" s="163"/>
      <c r="J32" s="198"/>
      <c r="K32" s="171"/>
      <c r="L32" s="219"/>
      <c r="M32" s="200"/>
    </row>
    <row r="33" spans="1:15" ht="15">
      <c r="A33" s="172"/>
      <c r="B33" s="173" t="s">
        <v>78</v>
      </c>
      <c r="C33" s="173"/>
      <c r="D33" s="174" t="s">
        <v>108</v>
      </c>
      <c r="E33" s="160"/>
      <c r="F33" s="175">
        <f>(F24+F25-F28-F30)*0.95</f>
        <v>972.89585499999987</v>
      </c>
      <c r="G33" s="167"/>
      <c r="H33" s="213"/>
      <c r="I33" s="163"/>
      <c r="J33" s="202">
        <f>F33*H33</f>
        <v>0</v>
      </c>
      <c r="K33" s="171"/>
      <c r="L33" s="219"/>
      <c r="M33" s="200"/>
    </row>
    <row r="34" spans="1:15" ht="14.25">
      <c r="A34" s="172"/>
      <c r="B34" s="173" t="s">
        <v>79</v>
      </c>
      <c r="C34" s="173"/>
      <c r="D34" s="174" t="s">
        <v>108</v>
      </c>
      <c r="E34" s="160"/>
      <c r="F34" s="181">
        <f>(F24+F25-F28-F30)*0.05</f>
        <v>51.205044999999998</v>
      </c>
      <c r="G34" s="167"/>
      <c r="H34" s="213"/>
      <c r="I34" s="163"/>
      <c r="J34" s="202">
        <f>F34*H34</f>
        <v>0</v>
      </c>
      <c r="K34" s="199"/>
      <c r="L34" s="199"/>
      <c r="M34" s="200"/>
      <c r="N34" s="200"/>
      <c r="O34" s="200"/>
    </row>
    <row r="35" spans="1:15" ht="14.25">
      <c r="A35" s="172"/>
      <c r="B35" s="173"/>
      <c r="C35" s="173"/>
      <c r="D35" s="165"/>
      <c r="E35" s="160"/>
      <c r="F35" s="166"/>
      <c r="G35" s="167"/>
      <c r="H35" s="215"/>
      <c r="I35" s="163"/>
      <c r="J35" s="194"/>
      <c r="K35" s="199"/>
      <c r="L35" s="199"/>
      <c r="M35" s="200"/>
      <c r="N35" s="200"/>
      <c r="O35" s="200"/>
    </row>
    <row r="36" spans="1:15" ht="14.25">
      <c r="A36" s="172"/>
      <c r="B36" s="224"/>
      <c r="C36" s="226"/>
      <c r="D36" s="160"/>
      <c r="E36" s="160"/>
      <c r="F36" s="166"/>
      <c r="G36" s="167"/>
      <c r="H36" s="215"/>
      <c r="I36" s="163"/>
      <c r="J36" s="194"/>
      <c r="K36" s="199"/>
      <c r="L36" s="199"/>
      <c r="M36" s="200"/>
      <c r="N36" s="200"/>
      <c r="O36" s="200"/>
    </row>
    <row r="37" spans="1:15" ht="25.5">
      <c r="A37" s="172" t="s">
        <v>73</v>
      </c>
      <c r="B37" s="228" t="s">
        <v>27</v>
      </c>
      <c r="C37" s="226"/>
      <c r="D37" s="174" t="s">
        <v>108</v>
      </c>
      <c r="E37" s="160"/>
      <c r="F37" s="175">
        <f>F24+F25-F33-F34</f>
        <v>182.29000000000025</v>
      </c>
      <c r="G37" s="167"/>
      <c r="H37" s="213"/>
      <c r="I37" s="163"/>
      <c r="J37" s="202">
        <f>F37*H37</f>
        <v>0</v>
      </c>
      <c r="K37" s="199"/>
      <c r="L37" s="199"/>
      <c r="M37" s="200"/>
      <c r="N37" s="200"/>
      <c r="O37" s="200"/>
    </row>
    <row r="38" spans="1:15">
      <c r="A38" s="172"/>
      <c r="B38" s="228"/>
      <c r="C38" s="226"/>
      <c r="D38" s="165"/>
      <c r="E38" s="160"/>
      <c r="F38" s="166"/>
      <c r="G38" s="167"/>
      <c r="H38" s="215"/>
      <c r="I38" s="163"/>
      <c r="J38" s="194"/>
      <c r="K38" s="217"/>
      <c r="L38" s="200"/>
      <c r="M38" s="200"/>
      <c r="N38" s="200"/>
      <c r="O38" s="200"/>
    </row>
    <row r="39" spans="1:15" ht="13.5" thickBot="1">
      <c r="A39" s="183"/>
      <c r="B39" s="232" t="s">
        <v>28</v>
      </c>
      <c r="C39" s="232"/>
      <c r="D39" s="233"/>
      <c r="E39" s="233"/>
      <c r="F39" s="234"/>
      <c r="G39" s="235"/>
      <c r="H39" s="189"/>
      <c r="I39" s="236"/>
      <c r="J39" s="189">
        <f>SUM(J22:J38)</f>
        <v>0</v>
      </c>
      <c r="K39" s="217"/>
      <c r="L39" s="200"/>
      <c r="M39" s="200"/>
      <c r="N39" s="200"/>
      <c r="O39" s="200"/>
    </row>
    <row r="40" spans="1:15" ht="13.5" thickTop="1">
      <c r="A40" s="190"/>
      <c r="B40" s="237"/>
      <c r="C40" s="237"/>
      <c r="D40" s="238"/>
      <c r="E40" s="238"/>
      <c r="F40" s="166"/>
      <c r="G40" s="167"/>
      <c r="H40" s="194"/>
      <c r="I40" s="169"/>
      <c r="J40" s="194"/>
      <c r="K40" s="217"/>
      <c r="L40" s="200"/>
      <c r="M40" s="200"/>
      <c r="N40" s="200"/>
      <c r="O40" s="200"/>
    </row>
    <row r="41" spans="1:15">
      <c r="A41" s="190"/>
      <c r="B41" s="237"/>
      <c r="C41" s="237"/>
      <c r="D41" s="238"/>
      <c r="E41" s="238"/>
      <c r="F41" s="166"/>
      <c r="G41" s="167"/>
      <c r="H41" s="194"/>
      <c r="I41" s="169"/>
      <c r="J41" s="194"/>
      <c r="K41" s="217"/>
      <c r="L41" s="200"/>
      <c r="M41" s="200"/>
      <c r="N41" s="200"/>
      <c r="O41" s="200"/>
    </row>
    <row r="42" spans="1:15" ht="15">
      <c r="A42" s="195" t="s">
        <v>63</v>
      </c>
      <c r="B42" s="239" t="s">
        <v>29</v>
      </c>
      <c r="C42" s="239"/>
      <c r="D42" s="160"/>
      <c r="E42" s="160"/>
      <c r="F42" s="170"/>
      <c r="G42" s="171"/>
      <c r="H42" s="198"/>
      <c r="I42" s="163"/>
      <c r="J42" s="198"/>
      <c r="K42" s="217"/>
      <c r="L42" s="200"/>
      <c r="M42" s="200"/>
      <c r="N42" s="200"/>
      <c r="O42" s="200"/>
    </row>
    <row r="43" spans="1:15" ht="15">
      <c r="A43" s="195"/>
      <c r="B43" s="239"/>
      <c r="C43" s="239"/>
      <c r="D43" s="160"/>
      <c r="E43" s="160"/>
      <c r="F43" s="170"/>
      <c r="G43" s="171"/>
      <c r="H43" s="198"/>
      <c r="I43" s="163"/>
      <c r="J43" s="198"/>
      <c r="K43" s="217"/>
      <c r="L43" s="200"/>
      <c r="M43" s="200"/>
    </row>
    <row r="44" spans="1:15" ht="38.25">
      <c r="A44" s="172" t="s">
        <v>58</v>
      </c>
      <c r="B44" s="226" t="s">
        <v>396</v>
      </c>
      <c r="C44" s="226"/>
      <c r="D44" s="174" t="s">
        <v>60</v>
      </c>
      <c r="E44" s="160"/>
      <c r="F44" s="240">
        <v>311.7</v>
      </c>
      <c r="G44" s="223"/>
      <c r="H44" s="213"/>
      <c r="I44" s="163"/>
      <c r="J44" s="202">
        <f>F44*H44</f>
        <v>0</v>
      </c>
      <c r="K44" s="217"/>
      <c r="L44" s="200"/>
      <c r="M44" s="200"/>
      <c r="N44" s="200"/>
      <c r="O44" s="200"/>
    </row>
    <row r="45" spans="1:15">
      <c r="A45" s="172"/>
      <c r="B45" s="226"/>
      <c r="C45" s="226"/>
      <c r="D45" s="160"/>
      <c r="E45" s="160"/>
      <c r="F45" s="170"/>
      <c r="G45" s="171"/>
      <c r="H45" s="198"/>
      <c r="I45" s="163"/>
      <c r="J45" s="198"/>
      <c r="K45" s="217"/>
      <c r="L45" s="200"/>
      <c r="M45" s="200"/>
      <c r="N45" s="200"/>
      <c r="O45" s="200"/>
    </row>
    <row r="46" spans="1:15">
      <c r="A46" s="172"/>
      <c r="B46" s="226"/>
      <c r="C46" s="226"/>
      <c r="D46" s="160"/>
      <c r="E46" s="160"/>
      <c r="F46" s="170"/>
      <c r="G46" s="171"/>
      <c r="H46" s="198"/>
      <c r="I46" s="163"/>
      <c r="J46" s="198"/>
      <c r="K46" s="217"/>
      <c r="L46" s="200"/>
      <c r="M46" s="200"/>
      <c r="N46" s="200"/>
      <c r="O46" s="200"/>
    </row>
    <row r="47" spans="1:15" ht="51">
      <c r="A47" s="172" t="s">
        <v>63</v>
      </c>
      <c r="B47" s="241" t="s">
        <v>398</v>
      </c>
      <c r="C47" s="241"/>
      <c r="D47" s="165"/>
      <c r="E47" s="165"/>
      <c r="F47" s="166"/>
      <c r="G47" s="167"/>
      <c r="H47" s="198"/>
      <c r="I47" s="163"/>
      <c r="J47" s="198"/>
      <c r="K47" s="217"/>
      <c r="L47" s="200"/>
      <c r="M47" s="200"/>
      <c r="N47" s="200"/>
      <c r="O47" s="200"/>
    </row>
    <row r="48" spans="1:15">
      <c r="A48" s="172"/>
      <c r="B48" s="241"/>
      <c r="C48" s="241"/>
      <c r="D48" s="174" t="s">
        <v>190</v>
      </c>
      <c r="E48" s="165"/>
      <c r="F48" s="175">
        <v>1</v>
      </c>
      <c r="G48" s="167"/>
      <c r="H48" s="213"/>
      <c r="I48" s="163"/>
      <c r="J48" s="202">
        <f>F48*H48</f>
        <v>0</v>
      </c>
      <c r="K48" s="217"/>
      <c r="L48" s="200"/>
      <c r="M48" s="200"/>
      <c r="N48" s="200"/>
      <c r="O48" s="200"/>
    </row>
    <row r="49" spans="1:15">
      <c r="A49" s="172"/>
      <c r="B49" s="241"/>
      <c r="C49" s="241"/>
      <c r="D49" s="160"/>
      <c r="E49" s="160"/>
      <c r="F49" s="170"/>
      <c r="G49" s="171"/>
      <c r="H49" s="198"/>
      <c r="I49" s="163"/>
      <c r="J49" s="198"/>
      <c r="K49" s="217"/>
      <c r="L49" s="200"/>
      <c r="M49" s="200"/>
      <c r="N49" s="200"/>
      <c r="O49" s="200"/>
    </row>
    <row r="50" spans="1:15" ht="51">
      <c r="A50" s="172" t="s">
        <v>67</v>
      </c>
      <c r="B50" s="241" t="s">
        <v>397</v>
      </c>
      <c r="C50" s="241"/>
      <c r="D50" s="165"/>
      <c r="E50" s="165"/>
      <c r="F50" s="166"/>
      <c r="G50" s="167"/>
      <c r="H50" s="198"/>
      <c r="I50" s="163"/>
      <c r="J50" s="198"/>
      <c r="K50" s="217"/>
      <c r="L50" s="200"/>
      <c r="M50" s="200"/>
      <c r="N50" s="200"/>
      <c r="O50" s="200"/>
    </row>
    <row r="51" spans="1:15">
      <c r="A51" s="172"/>
      <c r="B51" s="241"/>
      <c r="C51" s="241"/>
      <c r="D51" s="174" t="s">
        <v>190</v>
      </c>
      <c r="E51" s="165"/>
      <c r="F51" s="175">
        <v>14</v>
      </c>
      <c r="G51" s="167"/>
      <c r="H51" s="213"/>
      <c r="I51" s="163"/>
      <c r="J51" s="202">
        <f>F51*H51</f>
        <v>0</v>
      </c>
      <c r="K51" s="217"/>
      <c r="L51" s="200"/>
      <c r="M51" s="200"/>
      <c r="N51" s="200"/>
      <c r="O51" s="200"/>
    </row>
    <row r="52" spans="1:15">
      <c r="A52" s="172"/>
      <c r="B52" s="241"/>
      <c r="C52" s="241"/>
      <c r="D52" s="160"/>
      <c r="E52" s="160"/>
      <c r="F52" s="170"/>
      <c r="G52" s="171"/>
      <c r="H52" s="198"/>
      <c r="I52" s="163"/>
      <c r="J52" s="198"/>
      <c r="K52" s="217"/>
      <c r="L52" s="200"/>
      <c r="M52" s="200"/>
      <c r="N52" s="200"/>
      <c r="O52" s="200"/>
    </row>
    <row r="53" spans="1:15" ht="13.5" thickBot="1">
      <c r="A53" s="243"/>
      <c r="B53" s="244" t="s">
        <v>30</v>
      </c>
      <c r="C53" s="244"/>
      <c r="D53" s="186"/>
      <c r="E53" s="186"/>
      <c r="F53" s="234"/>
      <c r="G53" s="235"/>
      <c r="H53" s="189"/>
      <c r="I53" s="236"/>
      <c r="J53" s="189">
        <f>SUM(J44:J51)</f>
        <v>0</v>
      </c>
      <c r="K53" s="217"/>
      <c r="L53" s="200"/>
      <c r="M53" s="200"/>
      <c r="N53" s="200"/>
      <c r="O53" s="200"/>
    </row>
    <row r="54" spans="1:15" ht="13.5" thickTop="1">
      <c r="A54" s="245"/>
      <c r="B54" s="246"/>
      <c r="C54" s="246"/>
      <c r="D54" s="165"/>
      <c r="E54" s="165"/>
      <c r="F54" s="166"/>
      <c r="G54" s="167"/>
      <c r="H54" s="194"/>
      <c r="I54" s="169"/>
      <c r="J54" s="194"/>
      <c r="K54" s="242"/>
    </row>
    <row r="55" spans="1:15" ht="15.75">
      <c r="A55" s="247" t="s">
        <v>67</v>
      </c>
      <c r="B55" s="248" t="s">
        <v>31</v>
      </c>
      <c r="C55" s="248"/>
      <c r="D55" s="192"/>
      <c r="E55" s="192"/>
      <c r="F55" s="166"/>
      <c r="G55" s="167"/>
      <c r="H55" s="150"/>
      <c r="I55" s="163"/>
      <c r="J55" s="198"/>
      <c r="K55" s="242"/>
    </row>
    <row r="56" spans="1:15">
      <c r="A56" s="172"/>
      <c r="B56" s="249"/>
      <c r="C56" s="249"/>
      <c r="D56" s="250"/>
      <c r="E56" s="250"/>
      <c r="F56" s="170"/>
      <c r="G56" s="171"/>
      <c r="H56" s="150"/>
      <c r="I56" s="163"/>
      <c r="J56" s="198"/>
      <c r="K56" s="242"/>
    </row>
    <row r="57" spans="1:15" ht="25.5">
      <c r="A57" s="172" t="s">
        <v>58</v>
      </c>
      <c r="B57" s="173" t="s">
        <v>32</v>
      </c>
      <c r="C57" s="173"/>
      <c r="D57" s="251" t="s">
        <v>60</v>
      </c>
      <c r="E57" s="179"/>
      <c r="F57" s="175">
        <f>F9</f>
        <v>311.7</v>
      </c>
      <c r="G57" s="167"/>
      <c r="H57" s="213"/>
      <c r="I57" s="163"/>
      <c r="J57" s="202">
        <f>F57*H57</f>
        <v>0</v>
      </c>
      <c r="K57" s="242"/>
    </row>
    <row r="58" spans="1:15">
      <c r="A58" s="172"/>
      <c r="B58" s="173"/>
      <c r="C58" s="173"/>
      <c r="D58" s="179"/>
      <c r="E58" s="179"/>
      <c r="F58" s="170"/>
      <c r="G58" s="171"/>
      <c r="H58" s="150"/>
      <c r="I58" s="163"/>
      <c r="J58" s="198"/>
      <c r="K58" s="242"/>
    </row>
    <row r="59" spans="1:15">
      <c r="A59" s="172" t="s">
        <v>61</v>
      </c>
      <c r="B59" s="173" t="s">
        <v>33</v>
      </c>
      <c r="C59" s="173"/>
      <c r="D59" s="251" t="s">
        <v>60</v>
      </c>
      <c r="E59" s="179"/>
      <c r="F59" s="175">
        <f>F9</f>
        <v>311.7</v>
      </c>
      <c r="G59" s="167"/>
      <c r="H59" s="213"/>
      <c r="I59" s="163"/>
      <c r="J59" s="202">
        <f>F59*H59</f>
        <v>0</v>
      </c>
      <c r="K59" s="242"/>
    </row>
    <row r="60" spans="1:15">
      <c r="A60" s="172"/>
      <c r="B60" s="173"/>
      <c r="C60" s="173"/>
      <c r="D60" s="179"/>
      <c r="E60" s="179"/>
      <c r="F60" s="170"/>
      <c r="G60" s="171"/>
      <c r="H60" s="150"/>
      <c r="I60" s="163"/>
      <c r="J60" s="198"/>
      <c r="K60" s="242"/>
    </row>
    <row r="61" spans="1:15">
      <c r="A61" s="172" t="s">
        <v>63</v>
      </c>
      <c r="B61" s="173" t="s">
        <v>34</v>
      </c>
      <c r="C61" s="173"/>
      <c r="D61" s="251" t="s">
        <v>190</v>
      </c>
      <c r="E61" s="179"/>
      <c r="F61" s="175">
        <v>14</v>
      </c>
      <c r="G61" s="167"/>
      <c r="H61" s="213"/>
      <c r="I61" s="163"/>
      <c r="J61" s="202">
        <f>F61*H61</f>
        <v>0</v>
      </c>
      <c r="K61" s="242"/>
    </row>
    <row r="62" spans="1:15">
      <c r="A62" s="172"/>
      <c r="B62" s="173"/>
      <c r="C62" s="173"/>
      <c r="D62" s="179"/>
      <c r="E62" s="179"/>
      <c r="F62" s="170"/>
      <c r="G62" s="171"/>
      <c r="H62" s="150"/>
      <c r="I62" s="163"/>
      <c r="J62" s="198"/>
      <c r="K62" s="242"/>
    </row>
    <row r="63" spans="1:15" ht="25.5">
      <c r="A63" s="172" t="s">
        <v>67</v>
      </c>
      <c r="B63" s="173" t="s">
        <v>35</v>
      </c>
      <c r="C63" s="173"/>
      <c r="D63" s="251" t="s">
        <v>60</v>
      </c>
      <c r="E63" s="179"/>
      <c r="F63" s="175">
        <f>F9</f>
        <v>311.7</v>
      </c>
      <c r="G63" s="167"/>
      <c r="H63" s="213"/>
      <c r="I63" s="163"/>
      <c r="J63" s="202">
        <f>F63*H63</f>
        <v>0</v>
      </c>
      <c r="K63" s="242"/>
    </row>
    <row r="64" spans="1:15">
      <c r="A64" s="172"/>
      <c r="B64" s="173"/>
      <c r="C64" s="173"/>
      <c r="D64" s="179"/>
      <c r="E64" s="179"/>
      <c r="F64" s="170"/>
      <c r="G64" s="171"/>
      <c r="H64" s="150"/>
      <c r="I64" s="163"/>
      <c r="J64" s="198"/>
      <c r="K64" s="242"/>
    </row>
    <row r="65" spans="1:18" ht="13.5" thickBot="1">
      <c r="A65" s="183"/>
      <c r="B65" s="252" t="s">
        <v>36</v>
      </c>
      <c r="C65" s="252"/>
      <c r="D65" s="253"/>
      <c r="E65" s="253"/>
      <c r="F65" s="234"/>
      <c r="G65" s="235"/>
      <c r="H65" s="254"/>
      <c r="I65" s="236"/>
      <c r="J65" s="189">
        <f>SUM(J57:J63)</f>
        <v>0</v>
      </c>
      <c r="K65" s="242"/>
    </row>
    <row r="66" spans="1:18" ht="13.5" thickTop="1">
      <c r="A66" s="190"/>
      <c r="B66" s="255"/>
      <c r="C66" s="255"/>
      <c r="D66" s="256"/>
      <c r="E66" s="256"/>
      <c r="F66" s="166"/>
      <c r="G66" s="167"/>
      <c r="H66" s="168"/>
      <c r="I66" s="169"/>
      <c r="J66" s="194"/>
      <c r="K66" s="242"/>
    </row>
    <row r="67" spans="1:18">
      <c r="A67" s="190"/>
      <c r="B67" s="255"/>
      <c r="C67" s="255"/>
      <c r="D67" s="256"/>
      <c r="E67" s="256"/>
      <c r="F67" s="166"/>
      <c r="G67" s="167"/>
      <c r="H67" s="168"/>
      <c r="I67" s="169"/>
      <c r="J67" s="194"/>
      <c r="K67" s="242"/>
    </row>
    <row r="68" spans="1:18">
      <c r="A68" s="190"/>
      <c r="B68" s="255"/>
      <c r="C68" s="255"/>
      <c r="D68" s="256"/>
      <c r="E68" s="256"/>
      <c r="F68" s="166"/>
      <c r="G68" s="167"/>
      <c r="H68" s="150"/>
      <c r="I68" s="163"/>
      <c r="J68" s="198"/>
      <c r="K68" s="242"/>
    </row>
    <row r="69" spans="1:18">
      <c r="A69" s="190"/>
      <c r="B69" s="255"/>
      <c r="C69" s="255"/>
      <c r="D69" s="256"/>
      <c r="E69" s="256"/>
      <c r="F69" s="166"/>
      <c r="G69" s="167"/>
      <c r="H69" s="150"/>
      <c r="I69" s="163"/>
      <c r="J69" s="198"/>
      <c r="K69" s="242"/>
    </row>
    <row r="70" spans="1:18">
      <c r="A70" s="190"/>
      <c r="B70" s="255"/>
      <c r="C70" s="255"/>
      <c r="D70" s="256"/>
      <c r="E70" s="256"/>
      <c r="F70" s="166"/>
      <c r="G70" s="167"/>
      <c r="H70" s="150"/>
      <c r="I70" s="163"/>
      <c r="J70" s="198"/>
      <c r="K70" s="242"/>
    </row>
    <row r="71" spans="1:18">
      <c r="A71" s="190"/>
      <c r="B71" s="255"/>
      <c r="C71" s="255"/>
      <c r="D71" s="256"/>
      <c r="E71" s="256"/>
      <c r="F71" s="166"/>
      <c r="G71" s="167"/>
      <c r="H71" s="150"/>
      <c r="I71" s="163"/>
      <c r="J71" s="198"/>
      <c r="K71" s="242"/>
    </row>
    <row r="72" spans="1:18">
      <c r="A72" s="190"/>
      <c r="B72" s="255"/>
      <c r="C72" s="255"/>
      <c r="D72" s="256"/>
      <c r="E72" s="256"/>
      <c r="F72" s="166"/>
      <c r="G72" s="167"/>
      <c r="H72" s="150"/>
      <c r="I72" s="163"/>
      <c r="J72" s="198"/>
      <c r="K72" s="242"/>
    </row>
    <row r="73" spans="1:18">
      <c r="A73" s="190"/>
      <c r="B73" s="255"/>
      <c r="C73" s="255"/>
      <c r="D73" s="256"/>
      <c r="E73" s="256"/>
      <c r="F73" s="166"/>
      <c r="G73" s="167"/>
      <c r="H73" s="150"/>
      <c r="I73" s="163"/>
      <c r="J73" s="198"/>
      <c r="K73" s="242"/>
    </row>
    <row r="74" spans="1:18">
      <c r="A74" s="190"/>
      <c r="B74" s="255"/>
      <c r="C74" s="255"/>
      <c r="D74" s="256"/>
      <c r="E74" s="256"/>
      <c r="F74" s="166"/>
      <c r="G74" s="167"/>
      <c r="H74" s="150"/>
      <c r="I74" s="163"/>
      <c r="J74" s="198"/>
      <c r="K74" s="242"/>
    </row>
    <row r="75" spans="1:18">
      <c r="A75" s="172"/>
      <c r="B75" s="258"/>
      <c r="C75" s="258"/>
      <c r="D75" s="257"/>
      <c r="E75" s="257"/>
      <c r="F75" s="170"/>
      <c r="G75" s="171"/>
      <c r="H75" s="150"/>
      <c r="I75" s="163"/>
      <c r="J75" s="198"/>
      <c r="K75" s="242"/>
    </row>
    <row r="76" spans="1:18">
      <c r="B76" s="242"/>
      <c r="C76" s="242"/>
      <c r="D76" s="242"/>
      <c r="E76" s="242"/>
      <c r="F76" s="206"/>
      <c r="G76" s="242"/>
      <c r="H76" s="260"/>
      <c r="I76" s="261"/>
      <c r="J76" s="262"/>
      <c r="K76" s="242"/>
    </row>
    <row r="77" spans="1:18">
      <c r="B77" s="242"/>
      <c r="C77" s="242"/>
      <c r="D77" s="242"/>
      <c r="E77" s="242"/>
      <c r="F77" s="206"/>
      <c r="G77" s="242"/>
      <c r="H77" s="260"/>
      <c r="I77" s="261"/>
      <c r="J77" s="262"/>
      <c r="K77" s="242"/>
    </row>
    <row r="78" spans="1:18">
      <c r="B78" s="242"/>
      <c r="C78" s="242"/>
      <c r="D78" s="242"/>
      <c r="E78" s="242"/>
      <c r="F78" s="206"/>
      <c r="G78" s="242"/>
      <c r="H78" s="260"/>
      <c r="I78" s="261"/>
      <c r="J78" s="262"/>
      <c r="K78" s="242"/>
    </row>
    <row r="79" spans="1:18">
      <c r="B79" s="242"/>
      <c r="C79" s="242"/>
      <c r="D79" s="242"/>
      <c r="E79" s="242"/>
      <c r="F79" s="206"/>
      <c r="G79" s="242"/>
      <c r="H79" s="260"/>
      <c r="I79" s="261"/>
      <c r="J79" s="262"/>
      <c r="K79" s="242"/>
    </row>
    <row r="80" spans="1:18">
      <c r="B80" s="242"/>
      <c r="C80" s="242"/>
      <c r="D80" s="242"/>
      <c r="E80" s="242"/>
      <c r="F80" s="206"/>
      <c r="G80" s="242"/>
      <c r="H80" s="260"/>
      <c r="I80" s="261"/>
      <c r="J80" s="262"/>
      <c r="K80" s="242"/>
      <c r="Q80" s="259"/>
      <c r="R80" s="259"/>
    </row>
    <row r="81" spans="2:18">
      <c r="B81" s="242"/>
      <c r="C81" s="242"/>
      <c r="D81" s="242"/>
      <c r="E81" s="242"/>
      <c r="F81" s="206"/>
      <c r="G81" s="242"/>
      <c r="H81" s="260"/>
      <c r="I81" s="261"/>
      <c r="J81" s="262"/>
      <c r="K81" s="242"/>
      <c r="Q81" s="259"/>
      <c r="R81" s="259"/>
    </row>
    <row r="82" spans="2:18">
      <c r="B82" s="242"/>
      <c r="C82" s="242"/>
      <c r="D82" s="242"/>
      <c r="E82" s="242"/>
      <c r="F82" s="206"/>
      <c r="G82" s="242"/>
      <c r="H82" s="260"/>
      <c r="I82" s="261"/>
      <c r="J82" s="262"/>
      <c r="K82" s="242"/>
      <c r="Q82" s="259"/>
      <c r="R82" s="259"/>
    </row>
    <row r="83" spans="2:18">
      <c r="B83" s="242"/>
      <c r="C83" s="242"/>
      <c r="D83" s="242"/>
      <c r="E83" s="242"/>
      <c r="F83" s="206"/>
      <c r="G83" s="242"/>
      <c r="H83" s="260"/>
      <c r="I83" s="261"/>
      <c r="J83" s="262"/>
      <c r="K83" s="242"/>
      <c r="Q83" s="259"/>
      <c r="R83" s="259"/>
    </row>
    <row r="84" spans="2:18">
      <c r="B84" s="242"/>
      <c r="C84" s="242"/>
      <c r="D84" s="242"/>
      <c r="E84" s="242"/>
      <c r="F84" s="206"/>
      <c r="G84" s="242"/>
      <c r="H84" s="260"/>
      <c r="I84" s="261"/>
      <c r="J84" s="262"/>
      <c r="K84" s="242"/>
      <c r="Q84" s="259"/>
      <c r="R84" s="259"/>
    </row>
    <row r="85" spans="2:18">
      <c r="B85" s="242"/>
      <c r="C85" s="242"/>
      <c r="D85" s="242"/>
      <c r="E85" s="242"/>
      <c r="F85" s="206"/>
      <c r="G85" s="242"/>
      <c r="H85" s="260"/>
      <c r="I85" s="261"/>
      <c r="J85" s="262"/>
      <c r="K85" s="242"/>
      <c r="Q85" s="259"/>
      <c r="R85" s="259"/>
    </row>
    <row r="86" spans="2:18">
      <c r="B86" s="242"/>
      <c r="C86" s="242"/>
      <c r="D86" s="242"/>
      <c r="E86" s="242"/>
      <c r="F86" s="206"/>
      <c r="G86" s="242"/>
      <c r="H86" s="260"/>
      <c r="I86" s="261"/>
      <c r="J86" s="262"/>
      <c r="K86" s="242"/>
      <c r="Q86" s="259"/>
      <c r="R86" s="259"/>
    </row>
    <row r="87" spans="2:18">
      <c r="B87" s="242"/>
      <c r="C87" s="242"/>
      <c r="D87" s="242"/>
      <c r="E87" s="242"/>
      <c r="F87" s="206"/>
      <c r="G87" s="242"/>
      <c r="H87" s="260"/>
      <c r="I87" s="261"/>
      <c r="J87" s="262"/>
      <c r="K87" s="242"/>
      <c r="Q87" s="259"/>
      <c r="R87" s="259"/>
    </row>
    <row r="88" spans="2:18">
      <c r="B88" s="242"/>
      <c r="C88" s="242"/>
      <c r="D88" s="242"/>
      <c r="E88" s="242"/>
      <c r="F88" s="206"/>
      <c r="G88" s="242"/>
      <c r="H88" s="260"/>
      <c r="I88" s="261"/>
      <c r="J88" s="262"/>
      <c r="K88" s="242"/>
      <c r="Q88" s="259"/>
      <c r="R88" s="259"/>
    </row>
    <row r="89" spans="2:18">
      <c r="B89" s="242"/>
      <c r="C89" s="242"/>
      <c r="D89" s="242"/>
      <c r="E89" s="242"/>
      <c r="F89" s="206"/>
      <c r="G89" s="242"/>
      <c r="H89" s="260"/>
      <c r="I89" s="261"/>
      <c r="J89" s="262"/>
      <c r="K89" s="242"/>
      <c r="Q89" s="259"/>
      <c r="R89" s="259"/>
    </row>
    <row r="90" spans="2:18">
      <c r="B90" s="242"/>
      <c r="C90" s="242"/>
      <c r="D90" s="242"/>
      <c r="E90" s="242"/>
      <c r="F90" s="206"/>
      <c r="G90" s="242"/>
      <c r="H90" s="260"/>
      <c r="I90" s="261"/>
      <c r="J90" s="262"/>
      <c r="K90" s="263"/>
      <c r="L90" s="263"/>
      <c r="M90" s="264"/>
      <c r="Q90" s="259"/>
      <c r="R90" s="259"/>
    </row>
    <row r="91" spans="2:18">
      <c r="B91" s="242"/>
      <c r="C91" s="242"/>
      <c r="D91" s="242"/>
      <c r="E91" s="242"/>
      <c r="F91" s="206"/>
      <c r="G91" s="242"/>
      <c r="H91" s="260"/>
      <c r="I91" s="261"/>
      <c r="J91" s="262"/>
      <c r="K91" s="265"/>
      <c r="L91" s="265"/>
      <c r="M91" s="264"/>
    </row>
    <row r="92" spans="2:18">
      <c r="B92" s="242"/>
      <c r="C92" s="242"/>
      <c r="D92" s="242"/>
      <c r="E92" s="242"/>
      <c r="F92" s="206"/>
      <c r="G92" s="242"/>
      <c r="H92" s="260"/>
      <c r="I92" s="261"/>
      <c r="J92" s="262"/>
      <c r="K92" s="261"/>
      <c r="L92" s="261"/>
      <c r="M92" s="264"/>
    </row>
    <row r="93" spans="2:18">
      <c r="B93" s="242"/>
      <c r="C93" s="242"/>
      <c r="D93" s="242"/>
      <c r="E93" s="242"/>
      <c r="F93" s="206"/>
      <c r="G93" s="242"/>
      <c r="H93" s="260"/>
      <c r="I93" s="261"/>
      <c r="J93" s="262"/>
      <c r="K93" s="242"/>
    </row>
    <row r="94" spans="2:18">
      <c r="B94" s="242"/>
      <c r="C94" s="242"/>
      <c r="D94" s="242"/>
      <c r="E94" s="242"/>
      <c r="F94" s="206"/>
      <c r="G94" s="242"/>
      <c r="H94" s="260"/>
      <c r="I94" s="261"/>
      <c r="J94" s="262"/>
      <c r="K94" s="242"/>
    </row>
    <row r="95" spans="2:18">
      <c r="B95" s="242"/>
      <c r="C95" s="242"/>
      <c r="D95" s="242"/>
      <c r="E95" s="242"/>
      <c r="F95" s="206"/>
      <c r="G95" s="242"/>
      <c r="H95" s="260"/>
      <c r="I95" s="261"/>
      <c r="J95" s="262"/>
      <c r="K95" s="242"/>
    </row>
    <row r="96" spans="2:18">
      <c r="B96" s="242"/>
      <c r="C96" s="242"/>
      <c r="D96" s="242"/>
      <c r="E96" s="242"/>
      <c r="F96" s="206"/>
      <c r="G96" s="242"/>
      <c r="H96" s="260"/>
      <c r="I96" s="261"/>
      <c r="J96" s="262"/>
      <c r="K96" s="242"/>
    </row>
    <row r="97" spans="2:11">
      <c r="B97" s="242"/>
      <c r="C97" s="242"/>
      <c r="D97" s="242"/>
      <c r="E97" s="242"/>
      <c r="F97" s="206"/>
      <c r="G97" s="242"/>
      <c r="H97" s="260"/>
      <c r="I97" s="261"/>
      <c r="J97" s="262"/>
      <c r="K97" s="242"/>
    </row>
    <row r="98" spans="2:11">
      <c r="B98" s="242"/>
      <c r="C98" s="242"/>
      <c r="D98" s="242"/>
      <c r="E98" s="242"/>
      <c r="F98" s="206"/>
      <c r="G98" s="242"/>
      <c r="H98" s="260"/>
      <c r="I98" s="261"/>
      <c r="J98" s="262"/>
      <c r="K98" s="242"/>
    </row>
    <row r="99" spans="2:11">
      <c r="B99" s="242"/>
      <c r="C99" s="242"/>
      <c r="D99" s="242"/>
      <c r="E99" s="242"/>
      <c r="F99" s="206"/>
      <c r="G99" s="242"/>
      <c r="H99" s="260"/>
      <c r="I99" s="261"/>
      <c r="J99" s="262"/>
      <c r="K99" s="242"/>
    </row>
    <row r="100" spans="2:11">
      <c r="B100" s="242"/>
      <c r="C100" s="242"/>
      <c r="D100" s="242"/>
      <c r="E100" s="242"/>
      <c r="F100" s="206"/>
      <c r="G100" s="242"/>
      <c r="H100" s="260"/>
      <c r="I100" s="261"/>
      <c r="J100" s="262"/>
      <c r="K100" s="242"/>
    </row>
    <row r="101" spans="2:11">
      <c r="B101" s="242"/>
      <c r="C101" s="242"/>
      <c r="D101" s="242"/>
      <c r="E101" s="242"/>
      <c r="F101" s="206"/>
      <c r="G101" s="242"/>
      <c r="H101" s="260"/>
      <c r="I101" s="261"/>
      <c r="J101" s="262"/>
      <c r="K101" s="242"/>
    </row>
    <row r="102" spans="2:11">
      <c r="B102" s="242"/>
      <c r="C102" s="242"/>
      <c r="D102" s="242"/>
      <c r="E102" s="242"/>
      <c r="F102" s="206"/>
      <c r="G102" s="242"/>
      <c r="H102" s="260"/>
      <c r="I102" s="261"/>
      <c r="J102" s="262"/>
      <c r="K102" s="242"/>
    </row>
    <row r="103" spans="2:11">
      <c r="B103" s="242"/>
      <c r="C103" s="242"/>
      <c r="D103" s="242"/>
      <c r="E103" s="242"/>
      <c r="F103" s="206"/>
      <c r="G103" s="242"/>
      <c r="H103" s="260"/>
      <c r="I103" s="261"/>
      <c r="J103" s="262"/>
      <c r="K103" s="242"/>
    </row>
    <row r="104" spans="2:11">
      <c r="B104" s="242"/>
      <c r="C104" s="242"/>
      <c r="D104" s="242"/>
      <c r="E104" s="242"/>
      <c r="F104" s="206"/>
      <c r="G104" s="242"/>
      <c r="H104" s="260"/>
      <c r="I104" s="261"/>
      <c r="J104" s="262"/>
      <c r="K104" s="242"/>
    </row>
    <row r="105" spans="2:11">
      <c r="B105" s="242"/>
      <c r="C105" s="242"/>
      <c r="D105" s="242"/>
      <c r="E105" s="242"/>
      <c r="F105" s="206"/>
      <c r="G105" s="242"/>
      <c r="H105" s="260"/>
      <c r="I105" s="261"/>
      <c r="J105" s="262"/>
      <c r="K105" s="242"/>
    </row>
    <row r="106" spans="2:11">
      <c r="B106" s="242"/>
      <c r="C106" s="242"/>
      <c r="D106" s="242"/>
      <c r="E106" s="242"/>
      <c r="F106" s="206"/>
      <c r="G106" s="242"/>
      <c r="H106" s="260"/>
      <c r="I106" s="261"/>
      <c r="J106" s="262"/>
      <c r="K106" s="242"/>
    </row>
    <row r="107" spans="2:11">
      <c r="B107" s="242"/>
      <c r="C107" s="242"/>
      <c r="D107" s="242"/>
      <c r="E107" s="242"/>
      <c r="F107" s="206"/>
      <c r="G107" s="242"/>
      <c r="H107" s="260"/>
      <c r="I107" s="261"/>
      <c r="J107" s="262"/>
      <c r="K107" s="242"/>
    </row>
    <row r="108" spans="2:11">
      <c r="B108" s="242"/>
      <c r="C108" s="242"/>
      <c r="D108" s="242"/>
      <c r="E108" s="242"/>
      <c r="F108" s="206"/>
      <c r="G108" s="242"/>
      <c r="H108" s="260"/>
      <c r="I108" s="261"/>
      <c r="J108" s="262"/>
      <c r="K108" s="242"/>
    </row>
    <row r="109" spans="2:11">
      <c r="B109" s="242"/>
      <c r="C109" s="242"/>
      <c r="D109" s="242"/>
      <c r="E109" s="242"/>
      <c r="F109" s="206"/>
      <c r="G109" s="242"/>
      <c r="H109" s="260"/>
      <c r="I109" s="261"/>
      <c r="J109" s="262"/>
      <c r="K109" s="242"/>
    </row>
    <row r="110" spans="2:11">
      <c r="B110" s="242"/>
      <c r="C110" s="242"/>
      <c r="D110" s="242"/>
      <c r="E110" s="242"/>
      <c r="F110" s="206"/>
      <c r="G110" s="242"/>
      <c r="H110" s="260"/>
      <c r="I110" s="261"/>
      <c r="J110" s="262"/>
      <c r="K110" s="242"/>
    </row>
    <row r="111" spans="2:11">
      <c r="B111" s="242"/>
      <c r="C111" s="242"/>
      <c r="D111" s="242"/>
      <c r="E111" s="242"/>
      <c r="F111" s="206"/>
      <c r="G111" s="242"/>
      <c r="H111" s="260"/>
      <c r="I111" s="261"/>
      <c r="J111" s="262"/>
      <c r="K111" s="242"/>
    </row>
    <row r="112" spans="2:11">
      <c r="B112" s="242"/>
      <c r="C112" s="242"/>
      <c r="D112" s="242"/>
      <c r="E112" s="242"/>
      <c r="F112" s="206"/>
      <c r="G112" s="242"/>
      <c r="H112" s="260"/>
      <c r="I112" s="261"/>
      <c r="J112" s="262"/>
      <c r="K112" s="242"/>
    </row>
    <row r="113" spans="2:11">
      <c r="B113" s="242"/>
      <c r="C113" s="242"/>
      <c r="D113" s="242"/>
      <c r="E113" s="242"/>
      <c r="F113" s="206"/>
      <c r="G113" s="242"/>
      <c r="H113" s="260"/>
      <c r="I113" s="261"/>
      <c r="J113" s="262"/>
      <c r="K113" s="242"/>
    </row>
    <row r="114" spans="2:11">
      <c r="B114" s="242"/>
      <c r="C114" s="242"/>
      <c r="D114" s="242"/>
      <c r="E114" s="242"/>
      <c r="F114" s="206"/>
      <c r="G114" s="242"/>
      <c r="H114" s="260"/>
      <c r="I114" s="261"/>
      <c r="J114" s="262"/>
      <c r="K114" s="242"/>
    </row>
    <row r="115" spans="2:11">
      <c r="D115" s="242"/>
      <c r="E115" s="242"/>
      <c r="F115" s="206"/>
      <c r="G115" s="242"/>
      <c r="H115" s="260"/>
      <c r="I115" s="261"/>
      <c r="J115" s="262"/>
      <c r="K115" s="242"/>
    </row>
    <row r="116" spans="2:11">
      <c r="D116" s="242"/>
      <c r="E116" s="242"/>
      <c r="F116" s="206"/>
      <c r="G116" s="242"/>
      <c r="H116" s="260"/>
      <c r="I116" s="261"/>
      <c r="J116" s="262"/>
      <c r="K116" s="242"/>
    </row>
    <row r="117" spans="2:11">
      <c r="D117" s="242"/>
      <c r="E117" s="242"/>
      <c r="F117" s="206"/>
      <c r="G117" s="242"/>
      <c r="H117" s="260"/>
      <c r="I117" s="261"/>
      <c r="J117" s="262"/>
      <c r="K117" s="242"/>
    </row>
    <row r="118" spans="2:11">
      <c r="D118" s="242"/>
      <c r="E118" s="242"/>
      <c r="F118" s="206"/>
      <c r="G118" s="242"/>
      <c r="H118" s="260"/>
      <c r="I118" s="261"/>
      <c r="J118" s="262"/>
      <c r="K118" s="242"/>
    </row>
    <row r="119" spans="2:11">
      <c r="D119" s="242"/>
      <c r="E119" s="242"/>
      <c r="F119" s="206"/>
      <c r="G119" s="242"/>
      <c r="H119" s="260"/>
      <c r="I119" s="261"/>
      <c r="J119" s="262"/>
      <c r="K119" s="242"/>
    </row>
    <row r="120" spans="2:11">
      <c r="D120" s="242"/>
      <c r="E120" s="242"/>
      <c r="F120" s="206"/>
      <c r="G120" s="242"/>
      <c r="H120" s="260"/>
      <c r="I120" s="261"/>
      <c r="J120" s="262"/>
      <c r="K120" s="242"/>
    </row>
    <row r="121" spans="2:11">
      <c r="D121" s="242"/>
      <c r="E121" s="242"/>
      <c r="F121" s="206"/>
      <c r="G121" s="242"/>
      <c r="H121" s="260"/>
      <c r="I121" s="261"/>
      <c r="J121" s="262"/>
      <c r="K121" s="242"/>
    </row>
    <row r="122" spans="2:11">
      <c r="D122" s="242"/>
      <c r="E122" s="242"/>
      <c r="F122" s="206"/>
      <c r="G122" s="242"/>
      <c r="H122" s="260"/>
      <c r="I122" s="261"/>
      <c r="J122" s="262"/>
      <c r="K122" s="242"/>
    </row>
    <row r="123" spans="2:11">
      <c r="D123" s="242"/>
      <c r="E123" s="242"/>
      <c r="F123" s="206"/>
      <c r="G123" s="242"/>
      <c r="H123" s="260"/>
      <c r="I123" s="261"/>
      <c r="J123" s="262"/>
      <c r="K123" s="242"/>
    </row>
    <row r="124" spans="2:11">
      <c r="D124" s="242"/>
      <c r="E124" s="242"/>
      <c r="F124" s="206"/>
      <c r="G124" s="242"/>
      <c r="H124" s="260"/>
      <c r="I124" s="261"/>
      <c r="J124" s="262"/>
      <c r="K124" s="242"/>
    </row>
    <row r="125" spans="2:11">
      <c r="D125" s="242"/>
      <c r="E125" s="242"/>
      <c r="F125" s="206"/>
      <c r="G125" s="242"/>
      <c r="H125" s="260"/>
      <c r="I125" s="261"/>
      <c r="J125" s="262"/>
      <c r="K125" s="242"/>
    </row>
    <row r="126" spans="2:11">
      <c r="D126" s="242"/>
      <c r="E126" s="242"/>
      <c r="F126" s="206"/>
      <c r="G126" s="242"/>
      <c r="H126" s="260"/>
      <c r="I126" s="261"/>
      <c r="J126" s="262"/>
      <c r="K126" s="242"/>
    </row>
    <row r="127" spans="2:11">
      <c r="D127" s="242"/>
      <c r="E127" s="242"/>
      <c r="F127" s="206"/>
      <c r="G127" s="242"/>
      <c r="H127" s="260"/>
      <c r="I127" s="261"/>
      <c r="J127" s="262"/>
      <c r="K127" s="242"/>
    </row>
    <row r="128" spans="2:11">
      <c r="D128" s="242"/>
      <c r="E128" s="242"/>
      <c r="F128" s="206"/>
      <c r="G128" s="242"/>
      <c r="H128" s="260"/>
      <c r="I128" s="261"/>
      <c r="J128" s="262"/>
      <c r="K128" s="242"/>
    </row>
    <row r="129" spans="4:11">
      <c r="D129" s="242"/>
      <c r="E129" s="242"/>
      <c r="F129" s="206"/>
      <c r="G129" s="242"/>
      <c r="H129" s="260"/>
      <c r="I129" s="261"/>
      <c r="J129" s="262"/>
      <c r="K129" s="242"/>
    </row>
    <row r="130" spans="4:11">
      <c r="D130" s="242"/>
      <c r="E130" s="242"/>
      <c r="F130" s="206"/>
      <c r="G130" s="242"/>
      <c r="H130" s="260"/>
      <c r="I130" s="261"/>
      <c r="J130" s="262"/>
      <c r="K130" s="242"/>
    </row>
    <row r="131" spans="4:11">
      <c r="D131" s="242"/>
      <c r="E131" s="242"/>
      <c r="F131" s="206"/>
      <c r="G131" s="242"/>
      <c r="H131" s="260"/>
      <c r="I131" s="261"/>
      <c r="J131" s="262"/>
      <c r="K131" s="242"/>
    </row>
    <row r="132" spans="4:11">
      <c r="D132" s="242"/>
      <c r="E132" s="242"/>
      <c r="F132" s="206"/>
      <c r="G132" s="242"/>
      <c r="H132" s="260"/>
      <c r="I132" s="261"/>
      <c r="J132" s="262"/>
    </row>
    <row r="133" spans="4:11">
      <c r="D133" s="242"/>
      <c r="E133" s="242"/>
      <c r="F133" s="206"/>
      <c r="G133" s="242"/>
      <c r="H133" s="260"/>
      <c r="I133" s="261"/>
      <c r="J133" s="262"/>
    </row>
    <row r="134" spans="4:11">
      <c r="D134" s="242"/>
      <c r="E134" s="242"/>
      <c r="F134" s="206"/>
      <c r="G134" s="242"/>
      <c r="H134" s="260"/>
      <c r="I134" s="261"/>
      <c r="J134" s="262"/>
    </row>
    <row r="135" spans="4:11">
      <c r="D135" s="242"/>
      <c r="E135" s="242"/>
      <c r="F135" s="206"/>
      <c r="G135" s="242"/>
      <c r="H135" s="260"/>
      <c r="I135" s="261"/>
      <c r="J135" s="262"/>
    </row>
    <row r="136" spans="4:11">
      <c r="D136" s="242"/>
      <c r="E136" s="242"/>
      <c r="F136" s="206"/>
      <c r="G136" s="242"/>
      <c r="H136" s="260"/>
      <c r="I136" s="261"/>
      <c r="J136" s="262"/>
    </row>
    <row r="137" spans="4:11">
      <c r="D137" s="242"/>
      <c r="E137" s="242"/>
      <c r="F137" s="206"/>
      <c r="G137" s="242"/>
      <c r="H137" s="260"/>
      <c r="I137" s="261"/>
      <c r="J137" s="262"/>
    </row>
    <row r="138" spans="4:11">
      <c r="D138" s="242"/>
      <c r="E138" s="242"/>
      <c r="F138" s="206"/>
      <c r="G138" s="242"/>
      <c r="H138" s="260"/>
      <c r="I138" s="261"/>
      <c r="J138" s="262"/>
    </row>
    <row r="139" spans="4:11">
      <c r="D139" s="242"/>
      <c r="E139" s="242"/>
      <c r="F139" s="206"/>
      <c r="G139" s="242"/>
      <c r="H139" s="260"/>
      <c r="I139" s="266"/>
      <c r="J139" s="262"/>
    </row>
    <row r="140" spans="4:11">
      <c r="D140" s="242"/>
      <c r="E140" s="242"/>
      <c r="F140" s="206"/>
      <c r="G140" s="242"/>
      <c r="H140" s="260"/>
      <c r="I140" s="266"/>
      <c r="J140" s="262"/>
    </row>
    <row r="141" spans="4:11">
      <c r="D141" s="242"/>
      <c r="E141" s="242"/>
      <c r="F141" s="206"/>
      <c r="G141" s="242"/>
      <c r="H141" s="260"/>
      <c r="I141" s="266"/>
      <c r="J141" s="262"/>
    </row>
    <row r="142" spans="4:11">
      <c r="D142" s="242"/>
      <c r="E142" s="242"/>
      <c r="F142" s="206"/>
      <c r="G142" s="242"/>
      <c r="H142" s="260"/>
      <c r="I142" s="266"/>
      <c r="J142" s="262"/>
    </row>
    <row r="143" spans="4:11">
      <c r="D143" s="242"/>
      <c r="E143" s="242"/>
      <c r="F143" s="206"/>
      <c r="G143" s="242"/>
      <c r="H143" s="260"/>
      <c r="I143" s="266"/>
      <c r="J143" s="262"/>
    </row>
    <row r="144" spans="4:11">
      <c r="D144" s="242"/>
      <c r="E144" s="242"/>
      <c r="F144" s="206"/>
      <c r="G144" s="242"/>
      <c r="H144" s="260"/>
      <c r="I144" s="266"/>
      <c r="J144" s="262"/>
    </row>
    <row r="145" spans="4:10">
      <c r="D145" s="242"/>
      <c r="E145" s="242"/>
      <c r="F145" s="206"/>
      <c r="G145" s="242"/>
      <c r="H145" s="260"/>
      <c r="I145" s="266"/>
      <c r="J145" s="262"/>
    </row>
    <row r="146" spans="4:10">
      <c r="D146" s="242"/>
      <c r="E146" s="242"/>
      <c r="F146" s="206"/>
      <c r="G146" s="242"/>
      <c r="H146" s="260"/>
      <c r="I146" s="266"/>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62"/>
    </row>
    <row r="184" spans="4:10">
      <c r="D184" s="242"/>
      <c r="E184" s="242"/>
      <c r="F184" s="206"/>
      <c r="G184" s="242"/>
      <c r="H184" s="260"/>
      <c r="I184" s="266"/>
      <c r="J184" s="206"/>
    </row>
    <row r="185" spans="4:10">
      <c r="D185" s="242"/>
      <c r="E185" s="242"/>
      <c r="F185" s="206"/>
      <c r="G185" s="242"/>
      <c r="H185" s="260"/>
      <c r="I185" s="266"/>
      <c r="J185" s="206"/>
    </row>
    <row r="186" spans="4:10">
      <c r="D186" s="242"/>
      <c r="E186" s="242"/>
      <c r="F186" s="206"/>
      <c r="G186" s="242"/>
      <c r="H186" s="260"/>
      <c r="I186" s="266"/>
      <c r="J186" s="206"/>
    </row>
    <row r="187" spans="4:10">
      <c r="D187" s="242"/>
      <c r="E187" s="242"/>
      <c r="F187" s="206"/>
      <c r="G187" s="242"/>
      <c r="H187" s="260"/>
      <c r="I187" s="266"/>
      <c r="J187" s="206"/>
    </row>
    <row r="188" spans="4:10">
      <c r="D188" s="242"/>
      <c r="E188" s="242"/>
      <c r="F188" s="206"/>
      <c r="G188" s="242"/>
      <c r="H188" s="260"/>
      <c r="I188" s="266"/>
      <c r="J188" s="206"/>
    </row>
    <row r="189" spans="4:10">
      <c r="D189" s="242"/>
      <c r="E189" s="242"/>
      <c r="F189" s="206"/>
      <c r="G189" s="242"/>
      <c r="H189" s="260"/>
      <c r="I189" s="266"/>
      <c r="J189" s="206"/>
    </row>
    <row r="190" spans="4:10">
      <c r="D190" s="242"/>
      <c r="E190" s="242"/>
      <c r="F190" s="206"/>
      <c r="G190" s="242"/>
      <c r="H190" s="260"/>
      <c r="I190" s="266"/>
      <c r="J190" s="206"/>
    </row>
    <row r="191" spans="4:10">
      <c r="D191" s="242"/>
      <c r="E191" s="242"/>
      <c r="F191" s="206"/>
      <c r="G191" s="242"/>
      <c r="H191" s="260"/>
      <c r="I191" s="266"/>
      <c r="J191" s="206"/>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60"/>
      <c r="I253" s="266"/>
      <c r="J253" s="206"/>
    </row>
    <row r="254" spans="4:10">
      <c r="D254" s="242"/>
      <c r="E254" s="242"/>
      <c r="F254" s="206"/>
      <c r="G254" s="242"/>
      <c r="H254" s="206"/>
      <c r="I254" s="266"/>
      <c r="J254" s="206"/>
    </row>
    <row r="255" spans="4:10">
      <c r="D255" s="242"/>
      <c r="E255" s="242"/>
      <c r="F255" s="206"/>
      <c r="G255" s="242"/>
      <c r="H255" s="206"/>
      <c r="I255" s="266"/>
      <c r="J255" s="206"/>
    </row>
    <row r="256" spans="4:10">
      <c r="D256" s="242"/>
      <c r="E256" s="242"/>
      <c r="F256" s="206"/>
      <c r="G256" s="242"/>
      <c r="H256" s="206"/>
      <c r="I256" s="266"/>
      <c r="J256" s="206"/>
    </row>
    <row r="257" spans="4:10">
      <c r="D257" s="242"/>
      <c r="E257" s="242"/>
      <c r="F257" s="206"/>
      <c r="G257" s="242"/>
      <c r="H257" s="206"/>
      <c r="I257" s="266"/>
      <c r="J257" s="206"/>
    </row>
    <row r="258" spans="4:10">
      <c r="D258" s="242"/>
      <c r="E258" s="242"/>
      <c r="F258" s="206"/>
      <c r="G258" s="242"/>
      <c r="H258" s="206"/>
      <c r="I258" s="266"/>
      <c r="J258" s="206"/>
    </row>
    <row r="259" spans="4:10">
      <c r="D259" s="242"/>
      <c r="E259" s="242"/>
      <c r="F259" s="206"/>
      <c r="G259" s="242"/>
      <c r="H259" s="206"/>
      <c r="I259" s="266"/>
      <c r="J259" s="206"/>
    </row>
    <row r="260" spans="4:10">
      <c r="D260" s="242"/>
      <c r="E260" s="242"/>
      <c r="F260" s="206"/>
      <c r="G260" s="242"/>
      <c r="H260" s="206"/>
      <c r="I260" s="266"/>
      <c r="J260" s="206"/>
    </row>
    <row r="261" spans="4:10">
      <c r="D261" s="242"/>
      <c r="E261" s="242"/>
      <c r="F261" s="206"/>
      <c r="G261" s="242"/>
      <c r="H261" s="206"/>
      <c r="I261" s="266"/>
      <c r="J261" s="206"/>
    </row>
    <row r="262" spans="4:10">
      <c r="D262" s="242"/>
      <c r="E262" s="242"/>
      <c r="F262" s="206"/>
      <c r="G262" s="242"/>
      <c r="H262" s="206"/>
      <c r="I262" s="266"/>
      <c r="J262" s="206"/>
    </row>
    <row r="263" spans="4:10">
      <c r="D263" s="242"/>
      <c r="E263" s="242"/>
      <c r="F263" s="206"/>
      <c r="G263" s="242"/>
      <c r="H263" s="206"/>
      <c r="I263" s="266"/>
      <c r="J263" s="206"/>
    </row>
    <row r="264" spans="4:10">
      <c r="D264" s="242"/>
      <c r="E264" s="242"/>
      <c r="F264" s="206"/>
      <c r="G264" s="242"/>
      <c r="H264" s="206"/>
      <c r="I264" s="266"/>
      <c r="J264" s="206"/>
    </row>
    <row r="265" spans="4:10">
      <c r="D265" s="242"/>
      <c r="E265" s="242"/>
      <c r="F265" s="206"/>
      <c r="G265" s="242"/>
      <c r="H265" s="206"/>
      <c r="I265" s="266"/>
      <c r="J265" s="206"/>
    </row>
    <row r="266" spans="4:10">
      <c r="D266" s="242"/>
      <c r="E266" s="242"/>
      <c r="F266" s="206"/>
      <c r="G266" s="242"/>
      <c r="H266" s="206"/>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D272" s="242"/>
      <c r="E272" s="242"/>
      <c r="F272" s="206"/>
      <c r="G272" s="242"/>
      <c r="H272" s="206"/>
      <c r="I272" s="266"/>
      <c r="J272" s="206"/>
    </row>
    <row r="273" spans="4:10">
      <c r="D273" s="242"/>
      <c r="E273" s="242"/>
      <c r="F273" s="206"/>
      <c r="G273" s="242"/>
      <c r="H273" s="206"/>
      <c r="I273" s="266"/>
      <c r="J273" s="206"/>
    </row>
    <row r="274" spans="4:10">
      <c r="D274" s="242"/>
      <c r="E274" s="242"/>
      <c r="F274" s="206"/>
      <c r="G274" s="242"/>
      <c r="H274" s="206"/>
      <c r="I274" s="266"/>
      <c r="J274" s="206"/>
    </row>
    <row r="275" spans="4:10">
      <c r="D275" s="242"/>
      <c r="E275" s="242"/>
      <c r="F275" s="206"/>
      <c r="G275" s="242"/>
      <c r="H275" s="206"/>
      <c r="I275" s="266"/>
      <c r="J275" s="206"/>
    </row>
    <row r="276" spans="4:10">
      <c r="D276" s="242"/>
      <c r="E276" s="242"/>
      <c r="F276" s="206"/>
      <c r="G276" s="242"/>
      <c r="H276" s="206"/>
      <c r="I276" s="266"/>
      <c r="J276" s="206"/>
    </row>
    <row r="277" spans="4:10">
      <c r="D277" s="242"/>
      <c r="E277" s="242"/>
      <c r="F277" s="206"/>
      <c r="G277" s="242"/>
      <c r="H277" s="206"/>
      <c r="I277" s="266"/>
      <c r="J277" s="206"/>
    </row>
    <row r="278" spans="4:10">
      <c r="I278" s="267"/>
    </row>
    <row r="279" spans="4:10">
      <c r="I279" s="267"/>
    </row>
    <row r="280" spans="4:10">
      <c r="I280" s="267"/>
    </row>
    <row r="281" spans="4:10">
      <c r="I281" s="267"/>
    </row>
    <row r="282" spans="4:10">
      <c r="I282" s="267"/>
    </row>
    <row r="283" spans="4:10">
      <c r="I283" s="267"/>
    </row>
    <row r="284" spans="4:10">
      <c r="I284" s="267"/>
    </row>
    <row r="285" spans="4:10">
      <c r="I285" s="267"/>
    </row>
  </sheetData>
  <phoneticPr fontId="31" type="noConversion"/>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271"/>
  <sheetViews>
    <sheetView view="pageBreakPreview" topLeftCell="A34" zoomScale="130" zoomScaleSheetLayoutView="130" workbookViewId="0">
      <selection activeCell="H50" sqref="H50"/>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41</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O19</f>
        <v>253.89</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v>13</v>
      </c>
      <c r="G11" s="167"/>
      <c r="H11" s="176"/>
      <c r="I11" s="163"/>
      <c r="J11" s="176">
        <f>F11*H11</f>
        <v>0</v>
      </c>
      <c r="K11" s="136"/>
      <c r="L11" s="136" t="s">
        <v>399</v>
      </c>
      <c r="N11">
        <v>0</v>
      </c>
      <c r="O11">
        <v>42.4</v>
      </c>
      <c r="P11">
        <v>0</v>
      </c>
      <c r="Q11">
        <v>1168.95</v>
      </c>
      <c r="R11">
        <v>1081.8</v>
      </c>
      <c r="S11">
        <v>87.15</v>
      </c>
      <c r="T11">
        <v>0</v>
      </c>
      <c r="U11">
        <v>0</v>
      </c>
      <c r="V11">
        <v>0</v>
      </c>
      <c r="W11">
        <v>1156.49</v>
      </c>
      <c r="X11">
        <v>845.75</v>
      </c>
      <c r="Y11">
        <v>162.26</v>
      </c>
      <c r="Z11">
        <v>122.3</v>
      </c>
      <c r="AA11">
        <v>26.19</v>
      </c>
      <c r="AB11">
        <v>845.75</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5</v>
      </c>
      <c r="G13" s="167"/>
      <c r="H13" s="176"/>
      <c r="I13" s="182"/>
      <c r="J13" s="176">
        <f>F13*H13</f>
        <v>0</v>
      </c>
      <c r="K13" s="136"/>
      <c r="L13" s="136" t="s">
        <v>179</v>
      </c>
      <c r="M13" t="s">
        <v>389</v>
      </c>
      <c r="N13">
        <v>13</v>
      </c>
      <c r="O13" t="s">
        <v>392</v>
      </c>
      <c r="P13" t="s">
        <v>391</v>
      </c>
      <c r="Q13">
        <v>1000</v>
      </c>
      <c r="R13">
        <v>13</v>
      </c>
    </row>
    <row r="14" spans="1:28" ht="14.25">
      <c r="A14" s="172"/>
      <c r="B14" s="173"/>
      <c r="C14" s="173"/>
      <c r="D14" s="165"/>
      <c r="E14" s="165"/>
      <c r="F14" s="166"/>
      <c r="G14" s="167"/>
      <c r="H14" s="168"/>
      <c r="I14" s="182"/>
      <c r="J14" s="168"/>
      <c r="K14" s="136"/>
      <c r="L14" s="136"/>
    </row>
    <row r="15" spans="1:28" ht="14.25">
      <c r="A15" s="172" t="s">
        <v>67</v>
      </c>
      <c r="B15" s="173" t="s">
        <v>74</v>
      </c>
      <c r="C15" s="173"/>
      <c r="D15" s="174" t="s">
        <v>190</v>
      </c>
      <c r="E15" s="165"/>
      <c r="F15" s="175">
        <v>1</v>
      </c>
      <c r="G15" s="167"/>
      <c r="H15" s="176"/>
      <c r="I15" s="182"/>
      <c r="J15" s="176">
        <f>F15*H15</f>
        <v>0</v>
      </c>
      <c r="K15" s="136"/>
      <c r="L15" s="136"/>
    </row>
    <row r="16" spans="1:28" ht="14.25">
      <c r="A16" s="172"/>
      <c r="B16" s="173"/>
      <c r="C16" s="173"/>
      <c r="D16" s="165"/>
      <c r="E16" s="165"/>
      <c r="F16" s="166"/>
      <c r="G16" s="167"/>
      <c r="H16" s="168"/>
      <c r="I16" s="182"/>
      <c r="J16" s="168"/>
      <c r="K16" s="136"/>
      <c r="L16" s="136"/>
    </row>
    <row r="17" spans="1:15" ht="15" thickBot="1">
      <c r="A17" s="183"/>
      <c r="B17" s="184" t="s">
        <v>75</v>
      </c>
      <c r="C17" s="184"/>
      <c r="D17" s="185"/>
      <c r="E17" s="185"/>
      <c r="F17" s="186"/>
      <c r="G17" s="185"/>
      <c r="H17" s="187"/>
      <c r="I17" s="188"/>
      <c r="J17" s="189">
        <f>SUM(J9:J15)</f>
        <v>0</v>
      </c>
      <c r="K17" s="136"/>
      <c r="L17" s="136"/>
    </row>
    <row r="18" spans="1:15" ht="15" thickTop="1">
      <c r="A18" s="190"/>
      <c r="B18" s="191"/>
      <c r="C18" s="191"/>
      <c r="D18" s="192"/>
      <c r="E18" s="192"/>
      <c r="F18" s="165"/>
      <c r="G18" s="192"/>
      <c r="H18" s="193"/>
      <c r="I18" s="182"/>
      <c r="J18" s="194"/>
      <c r="K18" s="136"/>
      <c r="L18" s="136" t="s">
        <v>221</v>
      </c>
      <c r="M18" t="s">
        <v>238</v>
      </c>
      <c r="N18" s="450" t="s">
        <v>394</v>
      </c>
      <c r="O18" s="450" t="s">
        <v>239</v>
      </c>
    </row>
    <row r="19" spans="1:15" ht="14.25">
      <c r="A19" s="190"/>
      <c r="B19" s="191"/>
      <c r="C19" s="191"/>
      <c r="D19" s="192"/>
      <c r="E19" s="192"/>
      <c r="F19" s="165"/>
      <c r="G19" s="192"/>
      <c r="H19" s="193"/>
      <c r="I19" s="182"/>
      <c r="J19" s="194"/>
      <c r="K19" s="136"/>
      <c r="L19" s="136" t="s">
        <v>240</v>
      </c>
      <c r="M19">
        <v>235.4</v>
      </c>
      <c r="N19">
        <v>311.7</v>
      </c>
      <c r="O19">
        <v>253.89</v>
      </c>
    </row>
    <row r="20" spans="1:15" ht="15">
      <c r="A20" s="195" t="s">
        <v>61</v>
      </c>
      <c r="B20" s="196" t="s">
        <v>76</v>
      </c>
      <c r="C20" s="196"/>
      <c r="D20" s="160"/>
      <c r="E20" s="160"/>
      <c r="F20" s="170"/>
      <c r="G20" s="171"/>
      <c r="H20" s="197"/>
      <c r="I20" s="180"/>
      <c r="J20" s="198"/>
      <c r="K20" s="136"/>
      <c r="L20" s="136"/>
      <c r="N20" s="450"/>
      <c r="O20" s="450"/>
    </row>
    <row r="21" spans="1:15" ht="30">
      <c r="A21" s="195"/>
      <c r="B21" s="196" t="s">
        <v>821</v>
      </c>
      <c r="C21" s="196"/>
      <c r="D21" s="160"/>
      <c r="E21" s="160"/>
      <c r="F21" s="170"/>
      <c r="G21" s="171"/>
      <c r="H21" s="197"/>
      <c r="I21" s="180"/>
      <c r="J21" s="198"/>
      <c r="K21" s="136"/>
      <c r="L21" s="136"/>
    </row>
    <row r="22" spans="1:15" ht="14.25">
      <c r="A22" s="172"/>
      <c r="B22" s="173"/>
      <c r="C22" s="173"/>
      <c r="D22" s="160"/>
      <c r="E22" s="160"/>
      <c r="F22" s="170"/>
      <c r="G22" s="171"/>
      <c r="H22" s="197"/>
      <c r="I22" s="180"/>
      <c r="J22" s="198"/>
      <c r="K22" s="136"/>
      <c r="L22" s="136"/>
    </row>
    <row r="23" spans="1:15" ht="51">
      <c r="A23" s="172" t="s">
        <v>58</v>
      </c>
      <c r="B23" s="224" t="s">
        <v>80</v>
      </c>
      <c r="C23" s="225"/>
      <c r="D23" s="174" t="s">
        <v>108</v>
      </c>
      <c r="E23" s="160"/>
      <c r="F23" s="175">
        <v>26.19</v>
      </c>
      <c r="G23" s="167"/>
      <c r="H23" s="213"/>
      <c r="I23" s="169"/>
      <c r="J23" s="202">
        <f>F23*H23</f>
        <v>0</v>
      </c>
      <c r="K23" s="200"/>
      <c r="L23" s="199"/>
      <c r="M23" s="200"/>
    </row>
    <row r="24" spans="1:15" ht="14.25">
      <c r="A24" s="172"/>
      <c r="B24" s="224"/>
      <c r="C24" s="225"/>
      <c r="D24" s="160"/>
      <c r="E24" s="160"/>
      <c r="F24" s="166"/>
      <c r="G24" s="167"/>
      <c r="H24" s="215"/>
      <c r="I24" s="169"/>
      <c r="J24" s="194"/>
      <c r="K24" s="200"/>
      <c r="L24" s="199"/>
      <c r="M24" s="200"/>
    </row>
    <row r="25" spans="1:15" ht="38.25">
      <c r="A25" s="172" t="s">
        <v>61</v>
      </c>
      <c r="B25" s="173" t="s">
        <v>24</v>
      </c>
      <c r="C25" s="225"/>
      <c r="D25" s="174" t="s">
        <v>108</v>
      </c>
      <c r="E25" s="160"/>
      <c r="F25" s="175">
        <v>122.3</v>
      </c>
      <c r="G25" s="167"/>
      <c r="H25" s="213"/>
      <c r="I25" s="169"/>
      <c r="J25" s="202">
        <f>F25*H25</f>
        <v>0</v>
      </c>
      <c r="K25" s="200"/>
      <c r="L25" s="199"/>
      <c r="M25" s="200"/>
    </row>
    <row r="26" spans="1:15" ht="14.25">
      <c r="A26" s="172"/>
      <c r="B26" s="173"/>
      <c r="C26" s="225"/>
      <c r="D26" s="165"/>
      <c r="E26" s="160"/>
      <c r="F26" s="166"/>
      <c r="G26" s="167"/>
      <c r="H26" s="215"/>
      <c r="I26" s="169"/>
      <c r="J26" s="194"/>
      <c r="K26" s="200"/>
      <c r="L26" s="199"/>
      <c r="M26" s="200"/>
    </row>
    <row r="27" spans="1:15">
      <c r="A27" s="172"/>
      <c r="B27" s="228"/>
      <c r="C27" s="226"/>
      <c r="D27" s="165"/>
      <c r="E27" s="160"/>
      <c r="F27" s="166"/>
      <c r="G27" s="167"/>
      <c r="H27" s="215"/>
      <c r="I27" s="163"/>
      <c r="J27" s="194"/>
      <c r="K27" s="217"/>
      <c r="L27" s="200"/>
      <c r="M27" s="200"/>
      <c r="N27" s="200"/>
      <c r="O27" s="200"/>
    </row>
    <row r="28" spans="1:15" ht="13.5" thickBot="1">
      <c r="A28" s="183"/>
      <c r="B28" s="232" t="s">
        <v>28</v>
      </c>
      <c r="C28" s="232"/>
      <c r="D28" s="233"/>
      <c r="E28" s="233"/>
      <c r="F28" s="234"/>
      <c r="G28" s="235"/>
      <c r="H28" s="189"/>
      <c r="I28" s="236"/>
      <c r="J28" s="189">
        <f>SUM(J23:J27)</f>
        <v>0</v>
      </c>
      <c r="K28" s="217"/>
      <c r="L28" s="200"/>
      <c r="M28" s="200"/>
      <c r="N28" s="200"/>
      <c r="O28" s="200"/>
    </row>
    <row r="29" spans="1:15" ht="13.5" thickTop="1">
      <c r="A29" s="190"/>
      <c r="B29" s="237"/>
      <c r="C29" s="237"/>
      <c r="D29" s="238"/>
      <c r="E29" s="238"/>
      <c r="F29" s="166"/>
      <c r="G29" s="167"/>
      <c r="H29" s="194"/>
      <c r="I29" s="169"/>
      <c r="J29" s="194"/>
      <c r="K29" s="217"/>
      <c r="L29" s="200"/>
      <c r="M29" s="200"/>
      <c r="N29" s="200"/>
      <c r="O29" s="200"/>
    </row>
    <row r="30" spans="1:15">
      <c r="A30" s="190"/>
      <c r="B30" s="237"/>
      <c r="C30" s="237"/>
      <c r="D30" s="238"/>
      <c r="E30" s="238"/>
      <c r="F30" s="166"/>
      <c r="G30" s="167"/>
      <c r="H30" s="194"/>
      <c r="I30" s="169"/>
      <c r="J30" s="194"/>
      <c r="K30" s="217"/>
      <c r="L30" s="200"/>
      <c r="M30" s="200"/>
      <c r="N30" s="200"/>
      <c r="O30" s="200"/>
    </row>
    <row r="31" spans="1:15" ht="15">
      <c r="A31" s="195" t="s">
        <v>63</v>
      </c>
      <c r="B31" s="239" t="s">
        <v>29</v>
      </c>
      <c r="C31" s="239"/>
      <c r="D31" s="160"/>
      <c r="E31" s="160"/>
      <c r="F31" s="170"/>
      <c r="G31" s="171"/>
      <c r="H31" s="198"/>
      <c r="I31" s="163"/>
      <c r="J31" s="198"/>
      <c r="K31" s="217"/>
      <c r="L31" s="200"/>
      <c r="M31" s="200"/>
      <c r="N31" s="200"/>
      <c r="O31" s="200"/>
    </row>
    <row r="32" spans="1:15" ht="15">
      <c r="A32" s="195"/>
      <c r="B32" s="239"/>
      <c r="C32" s="239"/>
      <c r="D32" s="160"/>
      <c r="E32" s="160"/>
      <c r="F32" s="170"/>
      <c r="G32" s="171"/>
      <c r="H32" s="198"/>
      <c r="I32" s="163"/>
      <c r="J32" s="198"/>
      <c r="K32" s="217"/>
      <c r="L32" s="200"/>
      <c r="M32" s="200"/>
    </row>
    <row r="33" spans="1:15" ht="38.25">
      <c r="A33" s="172" t="s">
        <v>58</v>
      </c>
      <c r="B33" s="226" t="s">
        <v>404</v>
      </c>
      <c r="C33" s="226"/>
      <c r="D33" s="174" t="s">
        <v>60</v>
      </c>
      <c r="E33" s="160"/>
      <c r="F33" s="240">
        <f>O19</f>
        <v>253.89</v>
      </c>
      <c r="G33" s="223"/>
      <c r="H33" s="213"/>
      <c r="I33" s="163"/>
      <c r="J33" s="202">
        <f>F33*H33</f>
        <v>0</v>
      </c>
      <c r="K33" s="217"/>
      <c r="L33" s="200"/>
      <c r="M33" s="200"/>
      <c r="N33" s="200"/>
      <c r="O33" s="200"/>
    </row>
    <row r="34" spans="1:15">
      <c r="A34" s="172"/>
      <c r="B34" s="226"/>
      <c r="C34" s="226"/>
      <c r="D34" s="160"/>
      <c r="E34" s="160"/>
      <c r="F34" s="170"/>
      <c r="G34" s="171"/>
      <c r="H34" s="198"/>
      <c r="I34" s="163"/>
      <c r="J34" s="198"/>
      <c r="K34" s="217"/>
      <c r="L34" s="200"/>
      <c r="M34" s="200"/>
      <c r="N34" s="200"/>
      <c r="O34" s="200"/>
    </row>
    <row r="35" spans="1:15">
      <c r="A35" s="172"/>
      <c r="B35" s="241"/>
      <c r="C35" s="241"/>
      <c r="D35" s="160"/>
      <c r="E35" s="160"/>
      <c r="F35" s="170"/>
      <c r="G35" s="171"/>
      <c r="H35" s="198"/>
      <c r="I35" s="163"/>
      <c r="J35" s="198"/>
      <c r="K35" s="217"/>
      <c r="L35" s="200"/>
      <c r="M35" s="200"/>
      <c r="N35" s="200"/>
      <c r="O35" s="200"/>
    </row>
    <row r="36" spans="1:15" ht="51">
      <c r="A36" s="172" t="s">
        <v>61</v>
      </c>
      <c r="B36" s="241" t="s">
        <v>402</v>
      </c>
      <c r="C36" s="241"/>
      <c r="D36" s="165"/>
      <c r="E36" s="165"/>
      <c r="F36" s="166"/>
      <c r="G36" s="167"/>
      <c r="H36" s="198"/>
      <c r="I36" s="163"/>
      <c r="J36" s="198"/>
      <c r="K36" s="217"/>
      <c r="L36" s="200"/>
      <c r="M36" s="200"/>
      <c r="N36" s="200"/>
      <c r="O36" s="200"/>
    </row>
    <row r="37" spans="1:15">
      <c r="A37" s="172"/>
      <c r="B37" s="241"/>
      <c r="C37" s="241"/>
      <c r="D37" s="174" t="s">
        <v>190</v>
      </c>
      <c r="E37" s="165"/>
      <c r="F37" s="175">
        <f>R13</f>
        <v>13</v>
      </c>
      <c r="G37" s="167"/>
      <c r="H37" s="213"/>
      <c r="I37" s="163"/>
      <c r="J37" s="202">
        <f>F37*H37</f>
        <v>0</v>
      </c>
      <c r="K37" s="217"/>
      <c r="L37" s="200"/>
      <c r="M37" s="200"/>
      <c r="N37" s="200"/>
      <c r="O37" s="200"/>
    </row>
    <row r="38" spans="1:15">
      <c r="A38" s="172"/>
      <c r="B38" s="241"/>
      <c r="C38" s="241"/>
      <c r="D38" s="160"/>
      <c r="E38" s="160"/>
      <c r="F38" s="170"/>
      <c r="G38" s="171"/>
      <c r="H38" s="198"/>
      <c r="I38" s="163"/>
      <c r="J38" s="198"/>
      <c r="K38" s="217"/>
      <c r="L38" s="200"/>
      <c r="M38" s="200"/>
      <c r="N38" s="200"/>
      <c r="O38" s="200"/>
    </row>
    <row r="39" spans="1:15" ht="13.5" thickBot="1">
      <c r="A39" s="243"/>
      <c r="B39" s="244" t="s">
        <v>30</v>
      </c>
      <c r="C39" s="244"/>
      <c r="D39" s="186"/>
      <c r="E39" s="186"/>
      <c r="F39" s="234"/>
      <c r="G39" s="235"/>
      <c r="H39" s="189"/>
      <c r="I39" s="236"/>
      <c r="J39" s="189">
        <f>SUM(J33:J37)</f>
        <v>0</v>
      </c>
      <c r="K39" s="217"/>
      <c r="L39" s="200"/>
      <c r="M39" s="200"/>
      <c r="N39" s="200"/>
      <c r="O39" s="200"/>
    </row>
    <row r="40" spans="1:15" ht="13.5" thickTop="1">
      <c r="A40" s="245"/>
      <c r="B40" s="246"/>
      <c r="C40" s="246"/>
      <c r="D40" s="165"/>
      <c r="E40" s="165"/>
      <c r="F40" s="166"/>
      <c r="G40" s="167"/>
      <c r="H40" s="194"/>
      <c r="I40" s="169"/>
      <c r="J40" s="194"/>
      <c r="K40" s="242"/>
    </row>
    <row r="41" spans="1:15" ht="15.75">
      <c r="A41" s="247" t="s">
        <v>67</v>
      </c>
      <c r="B41" s="248" t="s">
        <v>31</v>
      </c>
      <c r="C41" s="248"/>
      <c r="D41" s="192"/>
      <c r="E41" s="192"/>
      <c r="F41" s="166"/>
      <c r="G41" s="167"/>
      <c r="H41" s="150"/>
      <c r="I41" s="163"/>
      <c r="J41" s="198"/>
      <c r="K41" s="242"/>
    </row>
    <row r="42" spans="1:15">
      <c r="A42" s="172"/>
      <c r="B42" s="249"/>
      <c r="C42" s="249"/>
      <c r="D42" s="250"/>
      <c r="E42" s="250"/>
      <c r="F42" s="170"/>
      <c r="G42" s="171"/>
      <c r="H42" s="150"/>
      <c r="I42" s="163"/>
      <c r="J42" s="198"/>
      <c r="K42" s="242"/>
    </row>
    <row r="43" spans="1:15" ht="25.5">
      <c r="A43" s="172" t="s">
        <v>58</v>
      </c>
      <c r="B43" s="173" t="s">
        <v>32</v>
      </c>
      <c r="C43" s="173"/>
      <c r="D43" s="251" t="s">
        <v>60</v>
      </c>
      <c r="E43" s="179"/>
      <c r="F43" s="175">
        <f>F9</f>
        <v>253.89</v>
      </c>
      <c r="G43" s="167"/>
      <c r="H43" s="213"/>
      <c r="I43" s="163"/>
      <c r="J43" s="202">
        <f>F43*H43</f>
        <v>0</v>
      </c>
      <c r="K43" s="242"/>
    </row>
    <row r="44" spans="1:15">
      <c r="A44" s="172"/>
      <c r="B44" s="173"/>
      <c r="C44" s="173"/>
      <c r="D44" s="179"/>
      <c r="E44" s="179"/>
      <c r="F44" s="170"/>
      <c r="G44" s="171"/>
      <c r="H44" s="150"/>
      <c r="I44" s="163"/>
      <c r="J44" s="198"/>
      <c r="K44" s="242"/>
    </row>
    <row r="45" spans="1:15">
      <c r="A45" s="172" t="s">
        <v>61</v>
      </c>
      <c r="B45" s="173" t="s">
        <v>33</v>
      </c>
      <c r="C45" s="173"/>
      <c r="D45" s="251" t="s">
        <v>60</v>
      </c>
      <c r="E45" s="179"/>
      <c r="F45" s="175">
        <f>F9</f>
        <v>253.89</v>
      </c>
      <c r="G45" s="167"/>
      <c r="H45" s="213"/>
      <c r="I45" s="163"/>
      <c r="J45" s="202">
        <f>F45*H45</f>
        <v>0</v>
      </c>
      <c r="K45" s="242"/>
    </row>
    <row r="46" spans="1:15">
      <c r="A46" s="172"/>
      <c r="B46" s="173"/>
      <c r="C46" s="173"/>
      <c r="D46" s="179"/>
      <c r="E46" s="179"/>
      <c r="F46" s="170"/>
      <c r="G46" s="171"/>
      <c r="H46" s="150"/>
      <c r="I46" s="163"/>
      <c r="J46" s="198"/>
      <c r="K46" s="242"/>
    </row>
    <row r="47" spans="1:15">
      <c r="A47" s="172" t="s">
        <v>63</v>
      </c>
      <c r="B47" s="173" t="s">
        <v>34</v>
      </c>
      <c r="C47" s="173"/>
      <c r="D47" s="251" t="s">
        <v>190</v>
      </c>
      <c r="E47" s="179"/>
      <c r="F47" s="175">
        <v>13</v>
      </c>
      <c r="G47" s="167"/>
      <c r="H47" s="213"/>
      <c r="I47" s="163"/>
      <c r="J47" s="202">
        <f>F47*H47</f>
        <v>0</v>
      </c>
      <c r="K47" s="242"/>
    </row>
    <row r="48" spans="1:15">
      <c r="A48" s="172"/>
      <c r="B48" s="173"/>
      <c r="C48" s="173"/>
      <c r="D48" s="179"/>
      <c r="E48" s="179"/>
      <c r="F48" s="170"/>
      <c r="G48" s="171"/>
      <c r="H48" s="150"/>
      <c r="I48" s="163"/>
      <c r="J48" s="198"/>
      <c r="K48" s="242"/>
    </row>
    <row r="49" spans="1:11" ht="25.5">
      <c r="A49" s="172" t="s">
        <v>67</v>
      </c>
      <c r="B49" s="173" t="s">
        <v>35</v>
      </c>
      <c r="C49" s="173"/>
      <c r="D49" s="251" t="s">
        <v>60</v>
      </c>
      <c r="E49" s="179"/>
      <c r="F49" s="175">
        <f>F9</f>
        <v>253.89</v>
      </c>
      <c r="G49" s="167"/>
      <c r="H49" s="213"/>
      <c r="I49" s="163"/>
      <c r="J49" s="202">
        <f>F49*H49</f>
        <v>0</v>
      </c>
      <c r="K49" s="242"/>
    </row>
    <row r="50" spans="1:11">
      <c r="A50" s="172"/>
      <c r="B50" s="173"/>
      <c r="C50" s="173"/>
      <c r="D50" s="179"/>
      <c r="E50" s="179"/>
      <c r="F50" s="170"/>
      <c r="G50" s="171"/>
      <c r="H50" s="150"/>
      <c r="I50" s="163"/>
      <c r="J50" s="198"/>
      <c r="K50" s="242"/>
    </row>
    <row r="51" spans="1:11" ht="13.5" thickBot="1">
      <c r="A51" s="183"/>
      <c r="B51" s="252" t="s">
        <v>36</v>
      </c>
      <c r="C51" s="252"/>
      <c r="D51" s="253"/>
      <c r="E51" s="253"/>
      <c r="F51" s="234"/>
      <c r="G51" s="235"/>
      <c r="H51" s="254"/>
      <c r="I51" s="236"/>
      <c r="J51" s="189">
        <f>SUM(J43:J49)</f>
        <v>0</v>
      </c>
      <c r="K51" s="242"/>
    </row>
    <row r="52" spans="1:11" ht="13.5" thickTop="1">
      <c r="A52" s="190"/>
      <c r="B52" s="255"/>
      <c r="C52" s="255"/>
      <c r="D52" s="256"/>
      <c r="E52" s="256"/>
      <c r="F52" s="166"/>
      <c r="G52" s="167"/>
      <c r="H52" s="168"/>
      <c r="I52" s="169"/>
      <c r="J52" s="194"/>
      <c r="K52" s="242"/>
    </row>
    <row r="53" spans="1:11">
      <c r="A53" s="190"/>
      <c r="B53" s="255"/>
      <c r="C53" s="255"/>
      <c r="D53" s="256"/>
      <c r="E53" s="256"/>
      <c r="F53" s="166"/>
      <c r="G53" s="167"/>
      <c r="H53" s="168"/>
      <c r="I53" s="169"/>
      <c r="J53" s="194"/>
      <c r="K53" s="242"/>
    </row>
    <row r="54" spans="1:11">
      <c r="A54" s="190"/>
      <c r="B54" s="255"/>
      <c r="C54" s="255"/>
      <c r="D54" s="256"/>
      <c r="E54" s="256"/>
      <c r="F54" s="166"/>
      <c r="G54" s="167"/>
      <c r="H54" s="150"/>
      <c r="I54" s="163"/>
      <c r="J54" s="198"/>
      <c r="K54" s="242"/>
    </row>
    <row r="55" spans="1:11">
      <c r="A55" s="190"/>
      <c r="B55" s="255"/>
      <c r="C55" s="255"/>
      <c r="D55" s="256"/>
      <c r="E55" s="256"/>
      <c r="F55" s="166"/>
      <c r="G55" s="167"/>
      <c r="H55" s="150"/>
      <c r="I55" s="163"/>
      <c r="J55" s="198"/>
      <c r="K55" s="242"/>
    </row>
    <row r="56" spans="1:11">
      <c r="A56" s="190"/>
      <c r="B56" s="255"/>
      <c r="C56" s="255"/>
      <c r="D56" s="256"/>
      <c r="E56" s="256"/>
      <c r="F56" s="166"/>
      <c r="G56" s="167"/>
      <c r="H56" s="150"/>
      <c r="I56" s="163"/>
      <c r="J56" s="198"/>
      <c r="K56" s="242"/>
    </row>
    <row r="57" spans="1:11">
      <c r="A57" s="190"/>
      <c r="B57" s="255"/>
      <c r="C57" s="255"/>
      <c r="D57" s="256"/>
      <c r="E57" s="256"/>
      <c r="F57" s="166"/>
      <c r="G57" s="167"/>
      <c r="H57" s="150"/>
      <c r="I57" s="163"/>
      <c r="J57" s="198"/>
      <c r="K57" s="242"/>
    </row>
    <row r="58" spans="1:11">
      <c r="A58" s="190"/>
      <c r="B58" s="255"/>
      <c r="C58" s="255"/>
      <c r="D58" s="256"/>
      <c r="E58" s="256"/>
      <c r="F58" s="166"/>
      <c r="G58" s="167"/>
      <c r="H58" s="150"/>
      <c r="I58" s="163"/>
      <c r="J58" s="198"/>
      <c r="K58" s="242"/>
    </row>
    <row r="59" spans="1:11">
      <c r="A59" s="190"/>
      <c r="B59" s="255"/>
      <c r="C59" s="255"/>
      <c r="D59" s="256"/>
      <c r="E59" s="256"/>
      <c r="F59" s="166"/>
      <c r="G59" s="167"/>
      <c r="H59" s="150"/>
      <c r="I59" s="163"/>
      <c r="J59" s="198"/>
      <c r="K59" s="242"/>
    </row>
    <row r="60" spans="1:11">
      <c r="A60" s="190"/>
      <c r="B60" s="255"/>
      <c r="C60" s="255"/>
      <c r="D60" s="256"/>
      <c r="E60" s="256"/>
      <c r="F60" s="166"/>
      <c r="G60" s="167"/>
      <c r="H60" s="150"/>
      <c r="I60" s="163"/>
      <c r="J60" s="198"/>
      <c r="K60" s="242"/>
    </row>
    <row r="61" spans="1:11">
      <c r="A61" s="172"/>
      <c r="B61" s="258"/>
      <c r="C61" s="258"/>
      <c r="D61" s="257"/>
      <c r="E61" s="257"/>
      <c r="F61" s="170"/>
      <c r="G61" s="171"/>
      <c r="H61" s="150"/>
      <c r="I61" s="163"/>
      <c r="J61" s="198"/>
      <c r="K61" s="242"/>
    </row>
    <row r="62" spans="1:11">
      <c r="B62" s="242"/>
      <c r="C62" s="242"/>
      <c r="D62" s="242"/>
      <c r="E62" s="242"/>
      <c r="F62" s="206"/>
      <c r="G62" s="242"/>
      <c r="H62" s="260"/>
      <c r="I62" s="261"/>
      <c r="J62" s="262"/>
      <c r="K62" s="242"/>
    </row>
    <row r="63" spans="1:11">
      <c r="B63" s="242"/>
      <c r="C63" s="242"/>
      <c r="D63" s="242"/>
      <c r="E63" s="242"/>
      <c r="F63" s="206"/>
      <c r="G63" s="242"/>
      <c r="H63" s="260"/>
      <c r="I63" s="261"/>
      <c r="J63" s="262"/>
      <c r="K63" s="242"/>
    </row>
    <row r="64" spans="1:11">
      <c r="B64" s="242"/>
      <c r="C64" s="242"/>
      <c r="D64" s="242"/>
      <c r="E64" s="242"/>
      <c r="F64" s="206"/>
      <c r="G64" s="242"/>
      <c r="H64" s="260"/>
      <c r="I64" s="261"/>
      <c r="J64" s="262"/>
      <c r="K64" s="242"/>
    </row>
    <row r="65" spans="2:18">
      <c r="B65" s="242"/>
      <c r="C65" s="242"/>
      <c r="D65" s="242"/>
      <c r="E65" s="242"/>
      <c r="F65" s="206"/>
      <c r="G65" s="242"/>
      <c r="H65" s="260"/>
      <c r="I65" s="261"/>
      <c r="J65" s="262"/>
      <c r="K65" s="242"/>
    </row>
    <row r="66" spans="2:18">
      <c r="B66" s="242"/>
      <c r="C66" s="242"/>
      <c r="D66" s="242"/>
      <c r="E66" s="242"/>
      <c r="F66" s="206"/>
      <c r="G66" s="242"/>
      <c r="H66" s="260"/>
      <c r="I66" s="261"/>
      <c r="J66" s="262"/>
      <c r="K66" s="242"/>
      <c r="Q66" s="259"/>
      <c r="R66" s="259"/>
    </row>
    <row r="67" spans="2:18">
      <c r="B67" s="242"/>
      <c r="C67" s="242"/>
      <c r="D67" s="242"/>
      <c r="E67" s="242"/>
      <c r="F67" s="206"/>
      <c r="G67" s="242"/>
      <c r="H67" s="260"/>
      <c r="I67" s="261"/>
      <c r="J67" s="262"/>
      <c r="K67" s="242"/>
      <c r="Q67" s="259"/>
      <c r="R67" s="259"/>
    </row>
    <row r="68" spans="2:18">
      <c r="B68" s="242"/>
      <c r="C68" s="242"/>
      <c r="D68" s="242"/>
      <c r="E68" s="242"/>
      <c r="F68" s="206"/>
      <c r="G68" s="242"/>
      <c r="H68" s="260"/>
      <c r="I68" s="261"/>
      <c r="J68" s="262"/>
      <c r="K68" s="242"/>
      <c r="Q68" s="259"/>
      <c r="R68" s="259"/>
    </row>
    <row r="69" spans="2:18">
      <c r="B69" s="242"/>
      <c r="C69" s="242"/>
      <c r="D69" s="242"/>
      <c r="E69" s="242"/>
      <c r="F69" s="206"/>
      <c r="G69" s="242"/>
      <c r="H69" s="260"/>
      <c r="I69" s="261"/>
      <c r="J69" s="262"/>
      <c r="K69" s="242"/>
      <c r="Q69" s="259"/>
      <c r="R69" s="259"/>
    </row>
    <row r="70" spans="2:18">
      <c r="B70" s="242"/>
      <c r="C70" s="242"/>
      <c r="D70" s="242"/>
      <c r="E70" s="242"/>
      <c r="F70" s="206"/>
      <c r="G70" s="242"/>
      <c r="H70" s="260"/>
      <c r="I70" s="261"/>
      <c r="J70" s="262"/>
      <c r="K70" s="242"/>
      <c r="Q70" s="259"/>
      <c r="R70" s="259"/>
    </row>
    <row r="71" spans="2:18">
      <c r="B71" s="242"/>
      <c r="C71" s="242"/>
      <c r="D71" s="242"/>
      <c r="E71" s="242"/>
      <c r="F71" s="206"/>
      <c r="G71" s="242"/>
      <c r="H71" s="260"/>
      <c r="I71" s="261"/>
      <c r="J71" s="262"/>
      <c r="K71" s="242"/>
      <c r="Q71" s="259"/>
      <c r="R71" s="259"/>
    </row>
    <row r="72" spans="2:18">
      <c r="B72" s="242"/>
      <c r="C72" s="242"/>
      <c r="D72" s="242"/>
      <c r="E72" s="242"/>
      <c r="F72" s="206"/>
      <c r="G72" s="242"/>
      <c r="H72" s="260"/>
      <c r="I72" s="261"/>
      <c r="J72" s="262"/>
      <c r="K72" s="242"/>
      <c r="Q72" s="259"/>
      <c r="R72" s="259"/>
    </row>
    <row r="73" spans="2:18">
      <c r="B73" s="242"/>
      <c r="C73" s="242"/>
      <c r="D73" s="242"/>
      <c r="E73" s="242"/>
      <c r="F73" s="206"/>
      <c r="G73" s="242"/>
      <c r="H73" s="260"/>
      <c r="I73" s="261"/>
      <c r="J73" s="262"/>
      <c r="K73" s="242"/>
      <c r="Q73" s="259"/>
      <c r="R73" s="259"/>
    </row>
    <row r="74" spans="2:18">
      <c r="B74" s="242"/>
      <c r="C74" s="242"/>
      <c r="D74" s="242"/>
      <c r="E74" s="242"/>
      <c r="F74" s="206"/>
      <c r="G74" s="242"/>
      <c r="H74" s="260"/>
      <c r="I74" s="261"/>
      <c r="J74" s="262"/>
      <c r="K74" s="242"/>
      <c r="Q74" s="259"/>
      <c r="R74" s="259"/>
    </row>
    <row r="75" spans="2:18">
      <c r="B75" s="242"/>
      <c r="C75" s="242"/>
      <c r="D75" s="242"/>
      <c r="E75" s="242"/>
      <c r="F75" s="206"/>
      <c r="G75" s="242"/>
      <c r="H75" s="260"/>
      <c r="I75" s="261"/>
      <c r="J75" s="262"/>
      <c r="K75" s="242"/>
      <c r="Q75" s="259"/>
      <c r="R75" s="259"/>
    </row>
    <row r="76" spans="2:18">
      <c r="B76" s="242"/>
      <c r="C76" s="242"/>
      <c r="D76" s="242"/>
      <c r="E76" s="242"/>
      <c r="F76" s="206"/>
      <c r="G76" s="242"/>
      <c r="H76" s="260"/>
      <c r="I76" s="261"/>
      <c r="J76" s="262"/>
      <c r="K76" s="263"/>
      <c r="L76" s="263"/>
      <c r="M76" s="264"/>
      <c r="Q76" s="259"/>
      <c r="R76" s="259"/>
    </row>
    <row r="77" spans="2:18">
      <c r="B77" s="242"/>
      <c r="C77" s="242"/>
      <c r="D77" s="242"/>
      <c r="E77" s="242"/>
      <c r="F77" s="206"/>
      <c r="G77" s="242"/>
      <c r="H77" s="260"/>
      <c r="I77" s="261"/>
      <c r="J77" s="262"/>
      <c r="K77" s="265"/>
      <c r="L77" s="265"/>
      <c r="M77" s="264"/>
    </row>
    <row r="78" spans="2:18">
      <c r="B78" s="242"/>
      <c r="C78" s="242"/>
      <c r="D78" s="242"/>
      <c r="E78" s="242"/>
      <c r="F78" s="206"/>
      <c r="G78" s="242"/>
      <c r="H78" s="260"/>
      <c r="I78" s="261"/>
      <c r="J78" s="262"/>
      <c r="K78" s="261"/>
      <c r="L78" s="261"/>
      <c r="M78" s="264"/>
    </row>
    <row r="79" spans="2:18">
      <c r="B79" s="242"/>
      <c r="C79" s="242"/>
      <c r="D79" s="242"/>
      <c r="E79" s="242"/>
      <c r="F79" s="206"/>
      <c r="G79" s="242"/>
      <c r="H79" s="260"/>
      <c r="I79" s="261"/>
      <c r="J79" s="262"/>
      <c r="K79" s="242"/>
    </row>
    <row r="80" spans="2:18">
      <c r="B80" s="242"/>
      <c r="C80" s="242"/>
      <c r="D80" s="242"/>
      <c r="E80" s="242"/>
      <c r="F80" s="206"/>
      <c r="G80" s="242"/>
      <c r="H80" s="260"/>
      <c r="I80" s="261"/>
      <c r="J80" s="262"/>
      <c r="K80" s="242"/>
    </row>
    <row r="81" spans="2:11">
      <c r="B81" s="242"/>
      <c r="C81" s="242"/>
      <c r="D81" s="242"/>
      <c r="E81" s="242"/>
      <c r="F81" s="206"/>
      <c r="G81" s="242"/>
      <c r="H81" s="260"/>
      <c r="I81" s="261"/>
      <c r="J81" s="262"/>
      <c r="K81" s="242"/>
    </row>
    <row r="82" spans="2:11">
      <c r="B82" s="242"/>
      <c r="C82" s="242"/>
      <c r="D82" s="242"/>
      <c r="E82" s="242"/>
      <c r="F82" s="206"/>
      <c r="G82" s="242"/>
      <c r="H82" s="260"/>
      <c r="I82" s="261"/>
      <c r="J82" s="262"/>
      <c r="K82" s="242"/>
    </row>
    <row r="83" spans="2:11">
      <c r="B83" s="242"/>
      <c r="C83" s="242"/>
      <c r="D83" s="242"/>
      <c r="E83" s="242"/>
      <c r="F83" s="206"/>
      <c r="G83" s="242"/>
      <c r="H83" s="260"/>
      <c r="I83" s="261"/>
      <c r="J83" s="262"/>
      <c r="K83" s="242"/>
    </row>
    <row r="84" spans="2:11">
      <c r="B84" s="242"/>
      <c r="C84" s="242"/>
      <c r="D84" s="242"/>
      <c r="E84" s="242"/>
      <c r="F84" s="206"/>
      <c r="G84" s="242"/>
      <c r="H84" s="260"/>
      <c r="I84" s="261"/>
      <c r="J84" s="262"/>
      <c r="K84" s="242"/>
    </row>
    <row r="85" spans="2:11">
      <c r="B85" s="242"/>
      <c r="C85" s="242"/>
      <c r="D85" s="242"/>
      <c r="E85" s="242"/>
      <c r="F85" s="206"/>
      <c r="G85" s="242"/>
      <c r="H85" s="260"/>
      <c r="I85" s="261"/>
      <c r="J85" s="262"/>
      <c r="K85" s="242"/>
    </row>
    <row r="86" spans="2:11">
      <c r="B86" s="242"/>
      <c r="C86" s="242"/>
      <c r="D86" s="242"/>
      <c r="E86" s="242"/>
      <c r="F86" s="206"/>
      <c r="G86" s="242"/>
      <c r="H86" s="260"/>
      <c r="I86" s="261"/>
      <c r="J86" s="262"/>
      <c r="K86" s="242"/>
    </row>
    <row r="87" spans="2:11">
      <c r="B87" s="242"/>
      <c r="C87" s="242"/>
      <c r="D87" s="242"/>
      <c r="E87" s="242"/>
      <c r="F87" s="206"/>
      <c r="G87" s="242"/>
      <c r="H87" s="260"/>
      <c r="I87" s="261"/>
      <c r="J87" s="262"/>
      <c r="K87" s="242"/>
    </row>
    <row r="88" spans="2:11">
      <c r="B88" s="242"/>
      <c r="C88" s="242"/>
      <c r="D88" s="242"/>
      <c r="E88" s="242"/>
      <c r="F88" s="206"/>
      <c r="G88" s="242"/>
      <c r="H88" s="260"/>
      <c r="I88" s="261"/>
      <c r="J88" s="262"/>
      <c r="K88" s="242"/>
    </row>
    <row r="89" spans="2:11">
      <c r="B89" s="242"/>
      <c r="C89" s="242"/>
      <c r="D89" s="242"/>
      <c r="E89" s="242"/>
      <c r="F89" s="206"/>
      <c r="G89" s="242"/>
      <c r="H89" s="260"/>
      <c r="I89" s="261"/>
      <c r="J89" s="262"/>
      <c r="K89" s="242"/>
    </row>
    <row r="90" spans="2:11">
      <c r="B90" s="242"/>
      <c r="C90" s="242"/>
      <c r="D90" s="242"/>
      <c r="E90" s="242"/>
      <c r="F90" s="206"/>
      <c r="G90" s="242"/>
      <c r="H90" s="260"/>
      <c r="I90" s="261"/>
      <c r="J90" s="262"/>
      <c r="K90" s="242"/>
    </row>
    <row r="91" spans="2:11">
      <c r="B91" s="242"/>
      <c r="C91" s="242"/>
      <c r="D91" s="242"/>
      <c r="E91" s="242"/>
      <c r="F91" s="206"/>
      <c r="G91" s="242"/>
      <c r="H91" s="260"/>
      <c r="I91" s="261"/>
      <c r="J91" s="262"/>
      <c r="K91" s="242"/>
    </row>
    <row r="92" spans="2:11">
      <c r="B92" s="242"/>
      <c r="C92" s="242"/>
      <c r="D92" s="242"/>
      <c r="E92" s="242"/>
      <c r="F92" s="206"/>
      <c r="G92" s="242"/>
      <c r="H92" s="260"/>
      <c r="I92" s="261"/>
      <c r="J92" s="262"/>
      <c r="K92" s="242"/>
    </row>
    <row r="93" spans="2:11">
      <c r="B93" s="242"/>
      <c r="C93" s="242"/>
      <c r="D93" s="242"/>
      <c r="E93" s="242"/>
      <c r="F93" s="206"/>
      <c r="G93" s="242"/>
      <c r="H93" s="260"/>
      <c r="I93" s="261"/>
      <c r="J93" s="262"/>
      <c r="K93" s="242"/>
    </row>
    <row r="94" spans="2:11">
      <c r="B94" s="242"/>
      <c r="C94" s="242"/>
      <c r="D94" s="242"/>
      <c r="E94" s="242"/>
      <c r="F94" s="206"/>
      <c r="G94" s="242"/>
      <c r="H94" s="260"/>
      <c r="I94" s="261"/>
      <c r="J94" s="262"/>
      <c r="K94" s="242"/>
    </row>
    <row r="95" spans="2:11">
      <c r="B95" s="242"/>
      <c r="C95" s="242"/>
      <c r="D95" s="242"/>
      <c r="E95" s="242"/>
      <c r="F95" s="206"/>
      <c r="G95" s="242"/>
      <c r="H95" s="260"/>
      <c r="I95" s="261"/>
      <c r="J95" s="262"/>
      <c r="K95" s="242"/>
    </row>
    <row r="96" spans="2:11">
      <c r="B96" s="242"/>
      <c r="C96" s="242"/>
      <c r="D96" s="242"/>
      <c r="E96" s="242"/>
      <c r="F96" s="206"/>
      <c r="G96" s="242"/>
      <c r="H96" s="260"/>
      <c r="I96" s="261"/>
      <c r="J96" s="262"/>
      <c r="K96" s="242"/>
    </row>
    <row r="97" spans="2:11">
      <c r="B97" s="242"/>
      <c r="C97" s="242"/>
      <c r="D97" s="242"/>
      <c r="E97" s="242"/>
      <c r="F97" s="206"/>
      <c r="G97" s="242"/>
      <c r="H97" s="260"/>
      <c r="I97" s="261"/>
      <c r="J97" s="262"/>
      <c r="K97" s="242"/>
    </row>
    <row r="98" spans="2:11">
      <c r="B98" s="242"/>
      <c r="C98" s="242"/>
      <c r="D98" s="242"/>
      <c r="E98" s="242"/>
      <c r="F98" s="206"/>
      <c r="G98" s="242"/>
      <c r="H98" s="260"/>
      <c r="I98" s="261"/>
      <c r="J98" s="262"/>
      <c r="K98" s="242"/>
    </row>
    <row r="99" spans="2:11">
      <c r="B99" s="242"/>
      <c r="C99" s="242"/>
      <c r="D99" s="242"/>
      <c r="E99" s="242"/>
      <c r="F99" s="206"/>
      <c r="G99" s="242"/>
      <c r="H99" s="260"/>
      <c r="I99" s="261"/>
      <c r="J99" s="262"/>
      <c r="K99" s="242"/>
    </row>
    <row r="100" spans="2:11">
      <c r="B100" s="242"/>
      <c r="C100" s="242"/>
      <c r="D100" s="242"/>
      <c r="E100" s="242"/>
      <c r="F100" s="206"/>
      <c r="G100" s="242"/>
      <c r="H100" s="260"/>
      <c r="I100" s="261"/>
      <c r="J100" s="262"/>
      <c r="K100" s="242"/>
    </row>
    <row r="101" spans="2:11">
      <c r="D101" s="242"/>
      <c r="E101" s="242"/>
      <c r="F101" s="206"/>
      <c r="G101" s="242"/>
      <c r="H101" s="260"/>
      <c r="I101" s="261"/>
      <c r="J101" s="262"/>
      <c r="K101" s="242"/>
    </row>
    <row r="102" spans="2:11">
      <c r="D102" s="242"/>
      <c r="E102" s="242"/>
      <c r="F102" s="206"/>
      <c r="G102" s="242"/>
      <c r="H102" s="260"/>
      <c r="I102" s="261"/>
      <c r="J102" s="262"/>
      <c r="K102" s="242"/>
    </row>
    <row r="103" spans="2:11">
      <c r="D103" s="242"/>
      <c r="E103" s="242"/>
      <c r="F103" s="206"/>
      <c r="G103" s="242"/>
      <c r="H103" s="260"/>
      <c r="I103" s="261"/>
      <c r="J103" s="262"/>
      <c r="K103" s="242"/>
    </row>
    <row r="104" spans="2:11">
      <c r="D104" s="242"/>
      <c r="E104" s="242"/>
      <c r="F104" s="206"/>
      <c r="G104" s="242"/>
      <c r="H104" s="260"/>
      <c r="I104" s="261"/>
      <c r="J104" s="262"/>
      <c r="K104" s="242"/>
    </row>
    <row r="105" spans="2:11">
      <c r="D105" s="242"/>
      <c r="E105" s="242"/>
      <c r="F105" s="206"/>
      <c r="G105" s="242"/>
      <c r="H105" s="260"/>
      <c r="I105" s="261"/>
      <c r="J105" s="262"/>
      <c r="K105" s="242"/>
    </row>
    <row r="106" spans="2:11">
      <c r="D106" s="242"/>
      <c r="E106" s="242"/>
      <c r="F106" s="206"/>
      <c r="G106" s="242"/>
      <c r="H106" s="260"/>
      <c r="I106" s="261"/>
      <c r="J106" s="262"/>
      <c r="K106" s="242"/>
    </row>
    <row r="107" spans="2:11">
      <c r="D107" s="242"/>
      <c r="E107" s="242"/>
      <c r="F107" s="206"/>
      <c r="G107" s="242"/>
      <c r="H107" s="260"/>
      <c r="I107" s="261"/>
      <c r="J107" s="262"/>
      <c r="K107" s="242"/>
    </row>
    <row r="108" spans="2:11">
      <c r="D108" s="242"/>
      <c r="E108" s="242"/>
      <c r="F108" s="206"/>
      <c r="G108" s="242"/>
      <c r="H108" s="260"/>
      <c r="I108" s="261"/>
      <c r="J108" s="262"/>
      <c r="K108" s="242"/>
    </row>
    <row r="109" spans="2:11">
      <c r="D109" s="242"/>
      <c r="E109" s="242"/>
      <c r="F109" s="206"/>
      <c r="G109" s="242"/>
      <c r="H109" s="260"/>
      <c r="I109" s="261"/>
      <c r="J109" s="262"/>
      <c r="K109" s="242"/>
    </row>
    <row r="110" spans="2:11">
      <c r="D110" s="242"/>
      <c r="E110" s="242"/>
      <c r="F110" s="206"/>
      <c r="G110" s="242"/>
      <c r="H110" s="260"/>
      <c r="I110" s="261"/>
      <c r="J110" s="262"/>
      <c r="K110" s="242"/>
    </row>
    <row r="111" spans="2:11">
      <c r="D111" s="242"/>
      <c r="E111" s="242"/>
      <c r="F111" s="206"/>
      <c r="G111" s="242"/>
      <c r="H111" s="260"/>
      <c r="I111" s="261"/>
      <c r="J111" s="262"/>
      <c r="K111" s="242"/>
    </row>
    <row r="112" spans="2:11">
      <c r="D112" s="242"/>
      <c r="E112" s="242"/>
      <c r="F112" s="206"/>
      <c r="G112" s="242"/>
      <c r="H112" s="260"/>
      <c r="I112" s="261"/>
      <c r="J112" s="262"/>
      <c r="K112" s="242"/>
    </row>
    <row r="113" spans="4:11">
      <c r="D113" s="242"/>
      <c r="E113" s="242"/>
      <c r="F113" s="206"/>
      <c r="G113" s="242"/>
      <c r="H113" s="260"/>
      <c r="I113" s="261"/>
      <c r="J113" s="262"/>
      <c r="K113" s="242"/>
    </row>
    <row r="114" spans="4:11">
      <c r="D114" s="242"/>
      <c r="E114" s="242"/>
      <c r="F114" s="206"/>
      <c r="G114" s="242"/>
      <c r="H114" s="260"/>
      <c r="I114" s="261"/>
      <c r="J114" s="262"/>
      <c r="K114" s="242"/>
    </row>
    <row r="115" spans="4:11">
      <c r="D115" s="242"/>
      <c r="E115" s="242"/>
      <c r="F115" s="206"/>
      <c r="G115" s="242"/>
      <c r="H115" s="260"/>
      <c r="I115" s="261"/>
      <c r="J115" s="262"/>
      <c r="K115" s="242"/>
    </row>
    <row r="116" spans="4:11">
      <c r="D116" s="242"/>
      <c r="E116" s="242"/>
      <c r="F116" s="206"/>
      <c r="G116" s="242"/>
      <c r="H116" s="260"/>
      <c r="I116" s="261"/>
      <c r="J116" s="262"/>
      <c r="K116" s="242"/>
    </row>
    <row r="117" spans="4:11">
      <c r="D117" s="242"/>
      <c r="E117" s="242"/>
      <c r="F117" s="206"/>
      <c r="G117" s="242"/>
      <c r="H117" s="260"/>
      <c r="I117" s="261"/>
      <c r="J117" s="262"/>
      <c r="K117" s="242"/>
    </row>
    <row r="118" spans="4:11">
      <c r="D118" s="242"/>
      <c r="E118" s="242"/>
      <c r="F118" s="206"/>
      <c r="G118" s="242"/>
      <c r="H118" s="260"/>
      <c r="I118" s="261"/>
      <c r="J118" s="262"/>
    </row>
    <row r="119" spans="4:11">
      <c r="D119" s="242"/>
      <c r="E119" s="242"/>
      <c r="F119" s="206"/>
      <c r="G119" s="242"/>
      <c r="H119" s="260"/>
      <c r="I119" s="261"/>
      <c r="J119" s="262"/>
    </row>
    <row r="120" spans="4:11">
      <c r="D120" s="242"/>
      <c r="E120" s="242"/>
      <c r="F120" s="206"/>
      <c r="G120" s="242"/>
      <c r="H120" s="260"/>
      <c r="I120" s="261"/>
      <c r="J120" s="262"/>
    </row>
    <row r="121" spans="4:11">
      <c r="D121" s="242"/>
      <c r="E121" s="242"/>
      <c r="F121" s="206"/>
      <c r="G121" s="242"/>
      <c r="H121" s="260"/>
      <c r="I121" s="261"/>
      <c r="J121" s="262"/>
    </row>
    <row r="122" spans="4:11">
      <c r="D122" s="242"/>
      <c r="E122" s="242"/>
      <c r="F122" s="206"/>
      <c r="G122" s="242"/>
      <c r="H122" s="260"/>
      <c r="I122" s="261"/>
      <c r="J122" s="262"/>
    </row>
    <row r="123" spans="4:11">
      <c r="D123" s="242"/>
      <c r="E123" s="242"/>
      <c r="F123" s="206"/>
      <c r="G123" s="242"/>
      <c r="H123" s="260"/>
      <c r="I123" s="261"/>
      <c r="J123" s="262"/>
    </row>
    <row r="124" spans="4:11">
      <c r="D124" s="242"/>
      <c r="E124" s="242"/>
      <c r="F124" s="206"/>
      <c r="G124" s="242"/>
      <c r="H124" s="260"/>
      <c r="I124" s="261"/>
      <c r="J124" s="262"/>
    </row>
    <row r="125" spans="4:11">
      <c r="D125" s="242"/>
      <c r="E125" s="242"/>
      <c r="F125" s="206"/>
      <c r="G125" s="242"/>
      <c r="H125" s="260"/>
      <c r="I125" s="266"/>
      <c r="J125" s="262"/>
    </row>
    <row r="126" spans="4:11">
      <c r="D126" s="242"/>
      <c r="E126" s="242"/>
      <c r="F126" s="206"/>
      <c r="G126" s="242"/>
      <c r="H126" s="260"/>
      <c r="I126" s="266"/>
      <c r="J126" s="262"/>
    </row>
    <row r="127" spans="4:11">
      <c r="D127" s="242"/>
      <c r="E127" s="242"/>
      <c r="F127" s="206"/>
      <c r="G127" s="242"/>
      <c r="H127" s="260"/>
      <c r="I127" s="266"/>
      <c r="J127" s="262"/>
    </row>
    <row r="128" spans="4:11">
      <c r="D128" s="242"/>
      <c r="E128" s="242"/>
      <c r="F128" s="206"/>
      <c r="G128" s="242"/>
      <c r="H128" s="260"/>
      <c r="I128" s="266"/>
      <c r="J128" s="262"/>
    </row>
    <row r="129" spans="4:10">
      <c r="D129" s="242"/>
      <c r="E129" s="242"/>
      <c r="F129" s="206"/>
      <c r="G129" s="242"/>
      <c r="H129" s="260"/>
      <c r="I129" s="266"/>
      <c r="J129" s="262"/>
    </row>
    <row r="130" spans="4:10">
      <c r="D130" s="242"/>
      <c r="E130" s="242"/>
      <c r="F130" s="206"/>
      <c r="G130" s="242"/>
      <c r="H130" s="260"/>
      <c r="I130" s="266"/>
      <c r="J130" s="262"/>
    </row>
    <row r="131" spans="4:10">
      <c r="D131" s="242"/>
      <c r="E131" s="242"/>
      <c r="F131" s="206"/>
      <c r="G131" s="242"/>
      <c r="H131" s="260"/>
      <c r="I131" s="266"/>
      <c r="J131" s="262"/>
    </row>
    <row r="132" spans="4:10">
      <c r="D132" s="242"/>
      <c r="E132" s="242"/>
      <c r="F132" s="206"/>
      <c r="G132" s="242"/>
      <c r="H132" s="260"/>
      <c r="I132" s="266"/>
      <c r="J132" s="262"/>
    </row>
    <row r="133" spans="4:10">
      <c r="D133" s="242"/>
      <c r="E133" s="242"/>
      <c r="F133" s="206"/>
      <c r="G133" s="242"/>
      <c r="H133" s="260"/>
      <c r="I133" s="266"/>
      <c r="J133" s="262"/>
    </row>
    <row r="134" spans="4:10">
      <c r="D134" s="242"/>
      <c r="E134" s="242"/>
      <c r="F134" s="206"/>
      <c r="G134" s="242"/>
      <c r="H134" s="260"/>
      <c r="I134" s="266"/>
      <c r="J134" s="262"/>
    </row>
    <row r="135" spans="4:10">
      <c r="D135" s="242"/>
      <c r="E135" s="242"/>
      <c r="F135" s="206"/>
      <c r="G135" s="242"/>
      <c r="H135" s="260"/>
      <c r="I135" s="266"/>
      <c r="J135" s="262"/>
    </row>
    <row r="136" spans="4:10">
      <c r="D136" s="242"/>
      <c r="E136" s="242"/>
      <c r="F136" s="206"/>
      <c r="G136" s="242"/>
      <c r="H136" s="260"/>
      <c r="I136" s="266"/>
      <c r="J136" s="262"/>
    </row>
    <row r="137" spans="4:10">
      <c r="D137" s="242"/>
      <c r="E137" s="242"/>
      <c r="F137" s="206"/>
      <c r="G137" s="242"/>
      <c r="H137" s="260"/>
      <c r="I137" s="266"/>
      <c r="J137" s="262"/>
    </row>
    <row r="138" spans="4:10">
      <c r="D138" s="242"/>
      <c r="E138" s="242"/>
      <c r="F138" s="206"/>
      <c r="G138" s="242"/>
      <c r="H138" s="260"/>
      <c r="I138" s="266"/>
      <c r="J138" s="262"/>
    </row>
    <row r="139" spans="4:10">
      <c r="D139" s="242"/>
      <c r="E139" s="242"/>
      <c r="F139" s="206"/>
      <c r="G139" s="242"/>
      <c r="H139" s="260"/>
      <c r="I139" s="266"/>
      <c r="J139" s="262"/>
    </row>
    <row r="140" spans="4:10">
      <c r="D140" s="242"/>
      <c r="E140" s="242"/>
      <c r="F140" s="206"/>
      <c r="G140" s="242"/>
      <c r="H140" s="260"/>
      <c r="I140" s="266"/>
      <c r="J140" s="262"/>
    </row>
    <row r="141" spans="4:10">
      <c r="D141" s="242"/>
      <c r="E141" s="242"/>
      <c r="F141" s="206"/>
      <c r="G141" s="242"/>
      <c r="H141" s="260"/>
      <c r="I141" s="266"/>
      <c r="J141" s="262"/>
    </row>
    <row r="142" spans="4:10">
      <c r="D142" s="242"/>
      <c r="E142" s="242"/>
      <c r="F142" s="206"/>
      <c r="G142" s="242"/>
      <c r="H142" s="260"/>
      <c r="I142" s="266"/>
      <c r="J142" s="262"/>
    </row>
    <row r="143" spans="4:10">
      <c r="D143" s="242"/>
      <c r="E143" s="242"/>
      <c r="F143" s="206"/>
      <c r="G143" s="242"/>
      <c r="H143" s="260"/>
      <c r="I143" s="266"/>
      <c r="J143" s="262"/>
    </row>
    <row r="144" spans="4:10">
      <c r="D144" s="242"/>
      <c r="E144" s="242"/>
      <c r="F144" s="206"/>
      <c r="G144" s="242"/>
      <c r="H144" s="260"/>
      <c r="I144" s="266"/>
      <c r="J144" s="262"/>
    </row>
    <row r="145" spans="4:10">
      <c r="D145" s="242"/>
      <c r="E145" s="242"/>
      <c r="F145" s="206"/>
      <c r="G145" s="242"/>
      <c r="H145" s="260"/>
      <c r="I145" s="266"/>
      <c r="J145" s="262"/>
    </row>
    <row r="146" spans="4:10">
      <c r="D146" s="242"/>
      <c r="E146" s="242"/>
      <c r="F146" s="206"/>
      <c r="G146" s="242"/>
      <c r="H146" s="260"/>
      <c r="I146" s="266"/>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06"/>
    </row>
    <row r="171" spans="4:10">
      <c r="D171" s="242"/>
      <c r="E171" s="242"/>
      <c r="F171" s="206"/>
      <c r="G171" s="242"/>
      <c r="H171" s="260"/>
      <c r="I171" s="266"/>
      <c r="J171" s="206"/>
    </row>
    <row r="172" spans="4:10">
      <c r="D172" s="242"/>
      <c r="E172" s="242"/>
      <c r="F172" s="206"/>
      <c r="G172" s="242"/>
      <c r="H172" s="260"/>
      <c r="I172" s="266"/>
      <c r="J172" s="206"/>
    </row>
    <row r="173" spans="4:10">
      <c r="D173" s="242"/>
      <c r="E173" s="242"/>
      <c r="F173" s="206"/>
      <c r="G173" s="242"/>
      <c r="H173" s="260"/>
      <c r="I173" s="266"/>
      <c r="J173" s="206"/>
    </row>
    <row r="174" spans="4:10">
      <c r="D174" s="242"/>
      <c r="E174" s="242"/>
      <c r="F174" s="206"/>
      <c r="G174" s="242"/>
      <c r="H174" s="260"/>
      <c r="I174" s="266"/>
      <c r="J174" s="206"/>
    </row>
    <row r="175" spans="4:10">
      <c r="D175" s="242"/>
      <c r="E175" s="242"/>
      <c r="F175" s="206"/>
      <c r="G175" s="242"/>
      <c r="H175" s="260"/>
      <c r="I175" s="266"/>
      <c r="J175" s="206"/>
    </row>
    <row r="176" spans="4:10">
      <c r="D176" s="242"/>
      <c r="E176" s="242"/>
      <c r="F176" s="206"/>
      <c r="G176" s="242"/>
      <c r="H176" s="260"/>
      <c r="I176" s="266"/>
      <c r="J176" s="206"/>
    </row>
    <row r="177" spans="4:10">
      <c r="D177" s="242"/>
      <c r="E177" s="242"/>
      <c r="F177" s="206"/>
      <c r="G177" s="242"/>
      <c r="H177" s="260"/>
      <c r="I177" s="266"/>
      <c r="J177" s="206"/>
    </row>
    <row r="178" spans="4:10">
      <c r="D178" s="242"/>
      <c r="E178" s="242"/>
      <c r="F178" s="206"/>
      <c r="G178" s="242"/>
      <c r="H178" s="260"/>
      <c r="I178" s="266"/>
      <c r="J178" s="206"/>
    </row>
    <row r="179" spans="4:10">
      <c r="D179" s="242"/>
      <c r="E179" s="242"/>
      <c r="F179" s="206"/>
      <c r="G179" s="242"/>
      <c r="H179" s="260"/>
      <c r="I179" s="266"/>
      <c r="J179" s="206"/>
    </row>
    <row r="180" spans="4:10">
      <c r="D180" s="242"/>
      <c r="E180" s="242"/>
      <c r="F180" s="206"/>
      <c r="G180" s="242"/>
      <c r="H180" s="260"/>
      <c r="I180" s="266"/>
      <c r="J180" s="206"/>
    </row>
    <row r="181" spans="4:10">
      <c r="D181" s="242"/>
      <c r="E181" s="242"/>
      <c r="F181" s="206"/>
      <c r="G181" s="242"/>
      <c r="H181" s="260"/>
      <c r="I181" s="266"/>
      <c r="J181" s="206"/>
    </row>
    <row r="182" spans="4:10">
      <c r="D182" s="242"/>
      <c r="E182" s="242"/>
      <c r="F182" s="206"/>
      <c r="G182" s="242"/>
      <c r="H182" s="260"/>
      <c r="I182" s="266"/>
      <c r="J182" s="206"/>
    </row>
    <row r="183" spans="4:10">
      <c r="D183" s="242"/>
      <c r="E183" s="242"/>
      <c r="F183" s="206"/>
      <c r="G183" s="242"/>
      <c r="H183" s="260"/>
      <c r="I183" s="266"/>
      <c r="J183" s="206"/>
    </row>
    <row r="184" spans="4:10">
      <c r="D184" s="242"/>
      <c r="E184" s="242"/>
      <c r="F184" s="206"/>
      <c r="G184" s="242"/>
      <c r="H184" s="260"/>
      <c r="I184" s="266"/>
      <c r="J184" s="206"/>
    </row>
    <row r="185" spans="4:10">
      <c r="D185" s="242"/>
      <c r="E185" s="242"/>
      <c r="F185" s="206"/>
      <c r="G185" s="242"/>
      <c r="H185" s="260"/>
      <c r="I185" s="266"/>
      <c r="J185" s="206"/>
    </row>
    <row r="186" spans="4:10">
      <c r="D186" s="242"/>
      <c r="E186" s="242"/>
      <c r="F186" s="206"/>
      <c r="G186" s="242"/>
      <c r="H186" s="260"/>
      <c r="I186" s="266"/>
      <c r="J186" s="206"/>
    </row>
    <row r="187" spans="4:10">
      <c r="D187" s="242"/>
      <c r="E187" s="242"/>
      <c r="F187" s="206"/>
      <c r="G187" s="242"/>
      <c r="H187" s="260"/>
      <c r="I187" s="266"/>
      <c r="J187" s="206"/>
    </row>
    <row r="188" spans="4:10">
      <c r="D188" s="242"/>
      <c r="E188" s="242"/>
      <c r="F188" s="206"/>
      <c r="G188" s="242"/>
      <c r="H188" s="260"/>
      <c r="I188" s="266"/>
      <c r="J188" s="206"/>
    </row>
    <row r="189" spans="4:10">
      <c r="D189" s="242"/>
      <c r="E189" s="242"/>
      <c r="F189" s="206"/>
      <c r="G189" s="242"/>
      <c r="H189" s="260"/>
      <c r="I189" s="266"/>
      <c r="J189" s="206"/>
    </row>
    <row r="190" spans="4:10">
      <c r="D190" s="242"/>
      <c r="E190" s="242"/>
      <c r="F190" s="206"/>
      <c r="G190" s="242"/>
      <c r="H190" s="260"/>
      <c r="I190" s="266"/>
      <c r="J190" s="206"/>
    </row>
    <row r="191" spans="4:10">
      <c r="D191" s="242"/>
      <c r="E191" s="242"/>
      <c r="F191" s="206"/>
      <c r="G191" s="242"/>
      <c r="H191" s="260"/>
      <c r="I191" s="266"/>
      <c r="J191" s="206"/>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06"/>
      <c r="I240" s="266"/>
      <c r="J240" s="206"/>
    </row>
    <row r="241" spans="4:10">
      <c r="D241" s="242"/>
      <c r="E241" s="242"/>
      <c r="F241" s="206"/>
      <c r="G241" s="242"/>
      <c r="H241" s="206"/>
      <c r="I241" s="266"/>
      <c r="J241" s="206"/>
    </row>
    <row r="242" spans="4:10">
      <c r="D242" s="242"/>
      <c r="E242" s="242"/>
      <c r="F242" s="206"/>
      <c r="G242" s="242"/>
      <c r="H242" s="206"/>
      <c r="I242" s="266"/>
      <c r="J242" s="206"/>
    </row>
    <row r="243" spans="4:10">
      <c r="D243" s="242"/>
      <c r="E243" s="242"/>
      <c r="F243" s="206"/>
      <c r="G243" s="242"/>
      <c r="H243" s="206"/>
      <c r="I243" s="266"/>
      <c r="J243" s="206"/>
    </row>
    <row r="244" spans="4:10">
      <c r="D244" s="242"/>
      <c r="E244" s="242"/>
      <c r="F244" s="206"/>
      <c r="G244" s="242"/>
      <c r="H244" s="206"/>
      <c r="I244" s="266"/>
      <c r="J244" s="206"/>
    </row>
    <row r="245" spans="4:10">
      <c r="D245" s="242"/>
      <c r="E245" s="242"/>
      <c r="F245" s="206"/>
      <c r="G245" s="242"/>
      <c r="H245" s="206"/>
      <c r="I245" s="266"/>
      <c r="J245" s="206"/>
    </row>
    <row r="246" spans="4:10">
      <c r="D246" s="242"/>
      <c r="E246" s="242"/>
      <c r="F246" s="206"/>
      <c r="G246" s="242"/>
      <c r="H246" s="206"/>
      <c r="I246" s="266"/>
      <c r="J246" s="206"/>
    </row>
    <row r="247" spans="4:10">
      <c r="D247" s="242"/>
      <c r="E247" s="242"/>
      <c r="F247" s="206"/>
      <c r="G247" s="242"/>
      <c r="H247" s="206"/>
      <c r="I247" s="266"/>
      <c r="J247" s="206"/>
    </row>
    <row r="248" spans="4:10">
      <c r="D248" s="242"/>
      <c r="E248" s="242"/>
      <c r="F248" s="206"/>
      <c r="G248" s="242"/>
      <c r="H248" s="206"/>
      <c r="I248" s="266"/>
      <c r="J248" s="206"/>
    </row>
    <row r="249" spans="4:10">
      <c r="D249" s="242"/>
      <c r="E249" s="242"/>
      <c r="F249" s="206"/>
      <c r="G249" s="242"/>
      <c r="H249" s="206"/>
      <c r="I249" s="266"/>
      <c r="J249" s="206"/>
    </row>
    <row r="250" spans="4:10">
      <c r="D250" s="242"/>
      <c r="E250" s="242"/>
      <c r="F250" s="206"/>
      <c r="G250" s="242"/>
      <c r="H250" s="206"/>
      <c r="I250" s="266"/>
      <c r="J250" s="206"/>
    </row>
    <row r="251" spans="4:10">
      <c r="D251" s="242"/>
      <c r="E251" s="242"/>
      <c r="F251" s="206"/>
      <c r="G251" s="242"/>
      <c r="H251" s="206"/>
      <c r="I251" s="266"/>
      <c r="J251" s="206"/>
    </row>
    <row r="252" spans="4:10">
      <c r="D252" s="242"/>
      <c r="E252" s="242"/>
      <c r="F252" s="206"/>
      <c r="G252" s="242"/>
      <c r="H252" s="206"/>
      <c r="I252" s="266"/>
      <c r="J252" s="206"/>
    </row>
    <row r="253" spans="4:10">
      <c r="D253" s="242"/>
      <c r="E253" s="242"/>
      <c r="F253" s="206"/>
      <c r="G253" s="242"/>
      <c r="H253" s="206"/>
      <c r="I253" s="266"/>
      <c r="J253" s="206"/>
    </row>
    <row r="254" spans="4:10">
      <c r="D254" s="242"/>
      <c r="E254" s="242"/>
      <c r="F254" s="206"/>
      <c r="G254" s="242"/>
      <c r="H254" s="206"/>
      <c r="I254" s="266"/>
      <c r="J254" s="206"/>
    </row>
    <row r="255" spans="4:10">
      <c r="D255" s="242"/>
      <c r="E255" s="242"/>
      <c r="F255" s="206"/>
      <c r="G255" s="242"/>
      <c r="H255" s="206"/>
      <c r="I255" s="266"/>
      <c r="J255" s="206"/>
    </row>
    <row r="256" spans="4:10">
      <c r="D256" s="242"/>
      <c r="E256" s="242"/>
      <c r="F256" s="206"/>
      <c r="G256" s="242"/>
      <c r="H256" s="206"/>
      <c r="I256" s="266"/>
      <c r="J256" s="206"/>
    </row>
    <row r="257" spans="4:10">
      <c r="D257" s="242"/>
      <c r="E257" s="242"/>
      <c r="F257" s="206"/>
      <c r="G257" s="242"/>
      <c r="H257" s="206"/>
      <c r="I257" s="266"/>
      <c r="J257" s="206"/>
    </row>
    <row r="258" spans="4:10">
      <c r="D258" s="242"/>
      <c r="E258" s="242"/>
      <c r="F258" s="206"/>
      <c r="G258" s="242"/>
      <c r="H258" s="206"/>
      <c r="I258" s="266"/>
      <c r="J258" s="206"/>
    </row>
    <row r="259" spans="4:10">
      <c r="D259" s="242"/>
      <c r="E259" s="242"/>
      <c r="F259" s="206"/>
      <c r="G259" s="242"/>
      <c r="H259" s="206"/>
      <c r="I259" s="266"/>
      <c r="J259" s="206"/>
    </row>
    <row r="260" spans="4:10">
      <c r="D260" s="242"/>
      <c r="E260" s="242"/>
      <c r="F260" s="206"/>
      <c r="G260" s="242"/>
      <c r="H260" s="206"/>
      <c r="I260" s="266"/>
      <c r="J260" s="206"/>
    </row>
    <row r="261" spans="4:10">
      <c r="D261" s="242"/>
      <c r="E261" s="242"/>
      <c r="F261" s="206"/>
      <c r="G261" s="242"/>
      <c r="H261" s="206"/>
      <c r="I261" s="266"/>
      <c r="J261" s="206"/>
    </row>
    <row r="262" spans="4:10">
      <c r="D262" s="242"/>
      <c r="E262" s="242"/>
      <c r="F262" s="206"/>
      <c r="G262" s="242"/>
      <c r="H262" s="206"/>
      <c r="I262" s="266"/>
      <c r="J262" s="206"/>
    </row>
    <row r="263" spans="4:10">
      <c r="D263" s="242"/>
      <c r="E263" s="242"/>
      <c r="F263" s="206"/>
      <c r="G263" s="242"/>
      <c r="H263" s="206"/>
      <c r="I263" s="266"/>
      <c r="J263" s="206"/>
    </row>
    <row r="264" spans="4:10">
      <c r="I264" s="267"/>
    </row>
    <row r="265" spans="4:10">
      <c r="I265" s="267"/>
    </row>
    <row r="266" spans="4:10">
      <c r="I266" s="267"/>
    </row>
    <row r="267" spans="4:10">
      <c r="I267" s="267"/>
    </row>
    <row r="268" spans="4:10">
      <c r="I268" s="267"/>
    </row>
    <row r="269" spans="4:10">
      <c r="I269" s="267"/>
    </row>
    <row r="270" spans="4:10">
      <c r="I270" s="267"/>
    </row>
    <row r="271" spans="4:10">
      <c r="I271" s="267"/>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279"/>
  <sheetViews>
    <sheetView view="pageBreakPreview" topLeftCell="A39" zoomScale="130" zoomScaleSheetLayoutView="130" workbookViewId="0">
      <selection activeCell="H56" sqref="H56"/>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570312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41</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O17</f>
        <v>339.86</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v>2</v>
      </c>
      <c r="G11" s="167"/>
      <c r="H11" s="176"/>
      <c r="I11" s="163"/>
      <c r="J11" s="176">
        <f>F11*H11</f>
        <v>0</v>
      </c>
      <c r="K11" s="136"/>
      <c r="L11" s="136" t="s">
        <v>400</v>
      </c>
      <c r="N11">
        <v>0</v>
      </c>
      <c r="O11">
        <v>29.26</v>
      </c>
      <c r="P11">
        <v>0</v>
      </c>
      <c r="Q11">
        <v>427.77</v>
      </c>
      <c r="R11">
        <v>427.77</v>
      </c>
      <c r="S11">
        <v>0</v>
      </c>
      <c r="T11">
        <v>0</v>
      </c>
      <c r="U11">
        <v>0</v>
      </c>
      <c r="V11">
        <v>0</v>
      </c>
      <c r="W11">
        <v>425.83</v>
      </c>
      <c r="X11">
        <v>187.78</v>
      </c>
      <c r="Y11">
        <v>108.26</v>
      </c>
      <c r="Z11">
        <v>105.16</v>
      </c>
      <c r="AA11">
        <v>24.64</v>
      </c>
      <c r="AB11">
        <v>187.78</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5</v>
      </c>
      <c r="G13" s="167"/>
      <c r="H13" s="176"/>
      <c r="I13" s="182"/>
      <c r="J13" s="176">
        <f>F13*H13</f>
        <v>0</v>
      </c>
      <c r="K13" s="136"/>
      <c r="L13" s="136" t="s">
        <v>179</v>
      </c>
      <c r="M13" t="s">
        <v>389</v>
      </c>
      <c r="N13">
        <v>13</v>
      </c>
      <c r="O13" t="s">
        <v>392</v>
      </c>
      <c r="P13" t="s">
        <v>391</v>
      </c>
      <c r="Q13">
        <v>1000</v>
      </c>
      <c r="R13">
        <v>13</v>
      </c>
    </row>
    <row r="14" spans="1:28" ht="14.25">
      <c r="A14" s="172"/>
      <c r="B14" s="173"/>
      <c r="C14" s="173"/>
      <c r="D14" s="165"/>
      <c r="E14" s="165"/>
      <c r="F14" s="166"/>
      <c r="G14" s="167"/>
      <c r="H14" s="168"/>
      <c r="I14" s="182"/>
      <c r="J14" s="168"/>
      <c r="K14" s="136"/>
      <c r="L14" s="136"/>
    </row>
    <row r="15" spans="1:28" ht="14.25">
      <c r="A15" s="172" t="s">
        <v>67</v>
      </c>
      <c r="B15" s="173" t="s">
        <v>74</v>
      </c>
      <c r="C15" s="173"/>
      <c r="D15" s="174" t="s">
        <v>190</v>
      </c>
      <c r="E15" s="165"/>
      <c r="F15" s="175">
        <v>1</v>
      </c>
      <c r="G15" s="167"/>
      <c r="H15" s="176"/>
      <c r="I15" s="182"/>
      <c r="J15" s="176">
        <f>F15*H15</f>
        <v>0</v>
      </c>
      <c r="K15" s="136"/>
      <c r="L15" s="136"/>
    </row>
    <row r="16" spans="1:28" ht="14.25">
      <c r="A16" s="172"/>
      <c r="B16" s="173"/>
      <c r="C16" s="173"/>
      <c r="D16" s="165"/>
      <c r="E16" s="165"/>
      <c r="F16" s="166"/>
      <c r="G16" s="167"/>
      <c r="H16" s="168"/>
      <c r="I16" s="182"/>
      <c r="J16" s="168"/>
      <c r="K16" s="136"/>
      <c r="L16" s="136" t="s">
        <v>221</v>
      </c>
      <c r="M16" t="s">
        <v>238</v>
      </c>
      <c r="N16" s="450" t="s">
        <v>239</v>
      </c>
      <c r="O16" s="450"/>
    </row>
    <row r="17" spans="1:15" ht="15" thickBot="1">
      <c r="A17" s="183"/>
      <c r="B17" s="184" t="s">
        <v>75</v>
      </c>
      <c r="C17" s="184"/>
      <c r="D17" s="185"/>
      <c r="E17" s="185"/>
      <c r="F17" s="186"/>
      <c r="G17" s="185"/>
      <c r="H17" s="187"/>
      <c r="I17" s="188"/>
      <c r="J17" s="189">
        <f>SUM(J9:J15)</f>
        <v>0</v>
      </c>
      <c r="K17" s="136"/>
      <c r="L17" s="136" t="s">
        <v>401</v>
      </c>
      <c r="M17">
        <v>79.2</v>
      </c>
      <c r="N17">
        <v>339.86</v>
      </c>
      <c r="O17">
        <v>339.86</v>
      </c>
    </row>
    <row r="18" spans="1:15" ht="15" thickTop="1">
      <c r="A18" s="190"/>
      <c r="B18" s="191"/>
      <c r="C18" s="191"/>
      <c r="D18" s="192"/>
      <c r="E18" s="192"/>
      <c r="F18" s="165"/>
      <c r="G18" s="192"/>
      <c r="H18" s="193"/>
      <c r="I18" s="182"/>
      <c r="J18" s="194"/>
      <c r="K18" s="136"/>
    </row>
    <row r="19" spans="1:15" ht="15">
      <c r="A19" s="195" t="s">
        <v>61</v>
      </c>
      <c r="B19" s="196" t="s">
        <v>76</v>
      </c>
      <c r="C19" s="196"/>
      <c r="D19" s="160"/>
      <c r="E19" s="160"/>
      <c r="F19" s="170"/>
      <c r="G19" s="171"/>
      <c r="H19" s="197"/>
      <c r="I19" s="180"/>
      <c r="J19" s="198"/>
      <c r="K19" s="136"/>
      <c r="N19">
        <v>253.89</v>
      </c>
    </row>
    <row r="20" spans="1:15" ht="15">
      <c r="A20" s="195"/>
      <c r="B20" s="196" t="s">
        <v>395</v>
      </c>
      <c r="C20" s="196"/>
      <c r="D20" s="160"/>
      <c r="E20" s="160"/>
      <c r="F20" s="170"/>
      <c r="G20" s="171"/>
      <c r="H20" s="197"/>
      <c r="I20" s="180"/>
      <c r="J20" s="198"/>
      <c r="K20" s="136"/>
      <c r="L20" s="136"/>
    </row>
    <row r="21" spans="1:15" ht="15">
      <c r="A21" s="195"/>
      <c r="B21" s="196"/>
      <c r="C21" s="196"/>
      <c r="D21" s="165"/>
      <c r="E21" s="165"/>
      <c r="F21" s="166"/>
      <c r="G21" s="167"/>
      <c r="H21" s="193"/>
      <c r="I21" s="182"/>
      <c r="J21" s="194"/>
      <c r="K21" s="136"/>
      <c r="L21" s="136"/>
    </row>
    <row r="22" spans="1:15" ht="51">
      <c r="A22" s="203" t="s">
        <v>61</v>
      </c>
      <c r="B22" s="204" t="s">
        <v>22</v>
      </c>
      <c r="C22" s="205"/>
      <c r="D22" s="206"/>
      <c r="E22" s="206"/>
      <c r="F22" s="207"/>
      <c r="G22" s="208"/>
      <c r="H22" s="209"/>
      <c r="I22" s="180"/>
      <c r="J22" s="194"/>
      <c r="K22" s="136"/>
      <c r="L22" s="136"/>
    </row>
    <row r="23" spans="1:15" ht="15.75">
      <c r="A23" s="210"/>
      <c r="B23" s="205" t="s">
        <v>78</v>
      </c>
      <c r="C23" s="205"/>
      <c r="D23" s="211" t="s">
        <v>108</v>
      </c>
      <c r="E23" s="206"/>
      <c r="F23" s="212">
        <f>(680*10.5+171.46)*0.33*0.5*0.95</f>
        <v>1146.071355</v>
      </c>
      <c r="G23" s="208"/>
      <c r="H23" s="213"/>
      <c r="I23" s="180"/>
      <c r="J23" s="202">
        <f>F23*H23</f>
        <v>0</v>
      </c>
      <c r="K23" s="136"/>
      <c r="L23" s="136"/>
    </row>
    <row r="24" spans="1:15" ht="14.25">
      <c r="A24" s="203"/>
      <c r="B24" s="205" t="s">
        <v>79</v>
      </c>
      <c r="C24" s="205"/>
      <c r="D24" s="211" t="s">
        <v>108</v>
      </c>
      <c r="E24" s="206"/>
      <c r="F24" s="212">
        <f>(680*10.5+171.46)*0.33*0.25*0.05</f>
        <v>30.159772500000003</v>
      </c>
      <c r="G24" s="208"/>
      <c r="H24" s="213"/>
      <c r="I24" s="180"/>
      <c r="J24" s="202">
        <f>F24*H24</f>
        <v>0</v>
      </c>
      <c r="K24" s="136"/>
      <c r="L24" s="136"/>
    </row>
    <row r="25" spans="1:15" ht="14.25">
      <c r="A25" s="172"/>
      <c r="B25" s="173"/>
      <c r="C25" s="173"/>
      <c r="D25" s="165"/>
      <c r="E25" s="160"/>
      <c r="F25" s="222"/>
      <c r="G25" s="223"/>
      <c r="H25" s="215"/>
      <c r="I25" s="180"/>
      <c r="J25" s="194"/>
      <c r="K25" s="199"/>
      <c r="L25" s="199"/>
      <c r="N25" s="200"/>
      <c r="O25" s="200"/>
    </row>
    <row r="26" spans="1:15" ht="51">
      <c r="A26" s="172" t="s">
        <v>63</v>
      </c>
      <c r="B26" s="224" t="s">
        <v>80</v>
      </c>
      <c r="C26" s="225"/>
      <c r="D26" s="174" t="s">
        <v>108</v>
      </c>
      <c r="E26" s="160"/>
      <c r="F26" s="175">
        <f>AA11</f>
        <v>24.64</v>
      </c>
      <c r="G26" s="167"/>
      <c r="H26" s="213"/>
      <c r="I26" s="169"/>
      <c r="J26" s="202">
        <f>F26*H26</f>
        <v>0</v>
      </c>
      <c r="K26" s="200"/>
      <c r="L26" s="199"/>
      <c r="M26" s="200"/>
    </row>
    <row r="27" spans="1:15" ht="14.25">
      <c r="A27" s="172"/>
      <c r="B27" s="224"/>
      <c r="C27" s="225"/>
      <c r="D27" s="160"/>
      <c r="E27" s="160"/>
      <c r="F27" s="166"/>
      <c r="G27" s="167"/>
      <c r="H27" s="215"/>
      <c r="I27" s="169"/>
      <c r="J27" s="194"/>
      <c r="K27" s="200"/>
      <c r="L27" s="199"/>
      <c r="M27" s="200"/>
    </row>
    <row r="28" spans="1:15" ht="38.25">
      <c r="A28" s="172" t="s">
        <v>67</v>
      </c>
      <c r="B28" s="173" t="s">
        <v>24</v>
      </c>
      <c r="C28" s="225"/>
      <c r="D28" s="174" t="s">
        <v>108</v>
      </c>
      <c r="E28" s="160"/>
      <c r="F28" s="175">
        <f>Z11</f>
        <v>105.16</v>
      </c>
      <c r="G28" s="167"/>
      <c r="H28" s="213"/>
      <c r="I28" s="169"/>
      <c r="J28" s="202">
        <f>F28*H28</f>
        <v>0</v>
      </c>
      <c r="K28" s="200"/>
      <c r="L28" s="199"/>
      <c r="M28" s="200"/>
    </row>
    <row r="29" spans="1:15" ht="14.25">
      <c r="A29" s="172"/>
      <c r="B29" s="173"/>
      <c r="C29" s="225"/>
      <c r="D29" s="165"/>
      <c r="E29" s="160"/>
      <c r="F29" s="166"/>
      <c r="G29" s="167"/>
      <c r="H29" s="215"/>
      <c r="I29" s="169"/>
      <c r="J29" s="194"/>
      <c r="K29" s="200"/>
      <c r="L29" s="199"/>
      <c r="M29" s="200"/>
    </row>
    <row r="30" spans="1:15" ht="76.5">
      <c r="A30" s="172" t="s">
        <v>68</v>
      </c>
      <c r="B30" s="224" t="s">
        <v>25</v>
      </c>
      <c r="C30" s="226"/>
      <c r="D30" s="179"/>
      <c r="E30" s="179"/>
      <c r="F30" s="166"/>
      <c r="G30" s="167"/>
      <c r="H30" s="198"/>
      <c r="I30" s="163"/>
      <c r="J30" s="198"/>
      <c r="K30" s="171"/>
      <c r="L30" s="219"/>
      <c r="M30" s="200"/>
    </row>
    <row r="31" spans="1:15" ht="15">
      <c r="A31" s="172"/>
      <c r="B31" s="173" t="s">
        <v>78</v>
      </c>
      <c r="C31" s="173"/>
      <c r="D31" s="174" t="s">
        <v>108</v>
      </c>
      <c r="E31" s="160"/>
      <c r="F31" s="175">
        <f>(F23+F24-F26-F28)*0.95</f>
        <v>994.10957112499977</v>
      </c>
      <c r="G31" s="167"/>
      <c r="H31" s="213"/>
      <c r="I31" s="163"/>
      <c r="J31" s="202">
        <f>F31*H31</f>
        <v>0</v>
      </c>
      <c r="K31" s="171"/>
      <c r="L31" s="219"/>
      <c r="M31" s="200"/>
    </row>
    <row r="32" spans="1:15" ht="14.25">
      <c r="A32" s="172"/>
      <c r="B32" s="173" t="s">
        <v>79</v>
      </c>
      <c r="C32" s="173"/>
      <c r="D32" s="174" t="s">
        <v>108</v>
      </c>
      <c r="E32" s="160"/>
      <c r="F32" s="181">
        <f>(F23+F24-F26-F28)*0.05</f>
        <v>52.321556374999993</v>
      </c>
      <c r="G32" s="167"/>
      <c r="H32" s="213"/>
      <c r="I32" s="163"/>
      <c r="J32" s="202">
        <f>F32*H32</f>
        <v>0</v>
      </c>
      <c r="K32" s="199"/>
      <c r="L32" s="199"/>
      <c r="M32" s="200"/>
      <c r="N32" s="200"/>
      <c r="O32" s="200"/>
    </row>
    <row r="33" spans="1:15" ht="14.25">
      <c r="A33" s="172"/>
      <c r="B33" s="224"/>
      <c r="C33" s="226"/>
      <c r="D33" s="160"/>
      <c r="E33" s="160"/>
      <c r="F33" s="166"/>
      <c r="G33" s="167"/>
      <c r="H33" s="215"/>
      <c r="I33" s="163"/>
      <c r="J33" s="194"/>
      <c r="K33" s="199"/>
      <c r="L33" s="199"/>
      <c r="M33" s="200"/>
      <c r="N33" s="200"/>
      <c r="O33" s="200"/>
    </row>
    <row r="34" spans="1:15" ht="25.5">
      <c r="A34" s="172" t="s">
        <v>69</v>
      </c>
      <c r="B34" s="228" t="s">
        <v>27</v>
      </c>
      <c r="C34" s="226"/>
      <c r="D34" s="174" t="s">
        <v>108</v>
      </c>
      <c r="E34" s="160"/>
      <c r="F34" s="175">
        <f>F23+F24-F31-F32</f>
        <v>129.80000000000018</v>
      </c>
      <c r="G34" s="167"/>
      <c r="H34" s="213"/>
      <c r="I34" s="163"/>
      <c r="J34" s="202">
        <f>F34*H34</f>
        <v>0</v>
      </c>
      <c r="K34" s="199"/>
      <c r="L34" s="199"/>
      <c r="M34" s="200"/>
      <c r="N34" s="200"/>
      <c r="O34" s="200"/>
    </row>
    <row r="35" spans="1:15">
      <c r="A35" s="172"/>
      <c r="B35" s="228"/>
      <c r="C35" s="226"/>
      <c r="D35" s="165"/>
      <c r="E35" s="160"/>
      <c r="F35" s="166"/>
      <c r="G35" s="167"/>
      <c r="H35" s="215"/>
      <c r="I35" s="163"/>
      <c r="J35" s="194"/>
      <c r="K35" s="217"/>
      <c r="L35" s="200"/>
      <c r="M35" s="200"/>
      <c r="N35" s="200"/>
      <c r="O35" s="200"/>
    </row>
    <row r="36" spans="1:15" ht="13.5" thickBot="1">
      <c r="A36" s="183"/>
      <c r="B36" s="232" t="s">
        <v>28</v>
      </c>
      <c r="C36" s="232"/>
      <c r="D36" s="233"/>
      <c r="E36" s="233"/>
      <c r="F36" s="234"/>
      <c r="G36" s="235"/>
      <c r="H36" s="189"/>
      <c r="I36" s="236"/>
      <c r="J36" s="189">
        <f>SUM(J21:J35)</f>
        <v>0</v>
      </c>
      <c r="K36" s="217"/>
      <c r="L36" s="200"/>
      <c r="M36" s="200"/>
      <c r="N36" s="200"/>
      <c r="O36" s="200"/>
    </row>
    <row r="37" spans="1:15" ht="13.5" thickTop="1">
      <c r="A37" s="190"/>
      <c r="B37" s="237"/>
      <c r="C37" s="237"/>
      <c r="D37" s="238"/>
      <c r="E37" s="238"/>
      <c r="F37" s="166"/>
      <c r="G37" s="167"/>
      <c r="H37" s="194"/>
      <c r="I37" s="169"/>
      <c r="J37" s="194"/>
      <c r="K37" s="217"/>
      <c r="L37" s="200"/>
      <c r="M37" s="200"/>
      <c r="N37" s="200"/>
      <c r="O37" s="200"/>
    </row>
    <row r="38" spans="1:15" ht="15">
      <c r="A38" s="195" t="s">
        <v>63</v>
      </c>
      <c r="B38" s="239" t="s">
        <v>29</v>
      </c>
      <c r="C38" s="239"/>
      <c r="D38" s="160"/>
      <c r="E38" s="160"/>
      <c r="F38" s="170"/>
      <c r="G38" s="171"/>
      <c r="H38" s="198"/>
      <c r="I38" s="163"/>
      <c r="J38" s="198"/>
      <c r="K38" s="217"/>
      <c r="L38" s="200"/>
      <c r="M38" s="200"/>
      <c r="N38" s="200"/>
      <c r="O38" s="200"/>
    </row>
    <row r="39" spans="1:15" ht="15">
      <c r="A39" s="195"/>
      <c r="B39" s="239"/>
      <c r="C39" s="239"/>
      <c r="D39" s="160"/>
      <c r="E39" s="160"/>
      <c r="F39" s="170"/>
      <c r="G39" s="171"/>
      <c r="H39" s="198"/>
      <c r="I39" s="163"/>
      <c r="J39" s="198"/>
      <c r="K39" s="217"/>
      <c r="L39" s="200"/>
      <c r="M39" s="200"/>
    </row>
    <row r="40" spans="1:15" ht="38.25">
      <c r="A40" s="172" t="s">
        <v>58</v>
      </c>
      <c r="B40" s="226" t="s">
        <v>403</v>
      </c>
      <c r="C40" s="226"/>
      <c r="D40" s="174" t="s">
        <v>60</v>
      </c>
      <c r="E40" s="160"/>
      <c r="F40" s="240">
        <f>F9</f>
        <v>339.86</v>
      </c>
      <c r="G40" s="223"/>
      <c r="H40" s="213"/>
      <c r="I40" s="163"/>
      <c r="J40" s="202">
        <f>F40*H40</f>
        <v>0</v>
      </c>
      <c r="K40" s="217"/>
      <c r="L40" s="200"/>
      <c r="M40" s="200"/>
      <c r="N40" s="200"/>
      <c r="O40" s="200"/>
    </row>
    <row r="41" spans="1:15">
      <c r="A41" s="172"/>
      <c r="B41" s="226"/>
      <c r="C41" s="226"/>
      <c r="D41" s="160"/>
      <c r="E41" s="160"/>
      <c r="F41" s="170"/>
      <c r="G41" s="171"/>
      <c r="H41" s="198"/>
      <c r="I41" s="163"/>
      <c r="J41" s="198"/>
      <c r="K41" s="217"/>
      <c r="L41" s="200"/>
      <c r="M41" s="200"/>
      <c r="N41" s="200"/>
      <c r="O41" s="200"/>
    </row>
    <row r="42" spans="1:15" ht="51">
      <c r="A42" s="172" t="s">
        <v>63</v>
      </c>
      <c r="B42" s="241" t="s">
        <v>398</v>
      </c>
      <c r="C42" s="241"/>
      <c r="D42" s="165"/>
      <c r="E42" s="165"/>
      <c r="F42" s="166"/>
      <c r="G42" s="167"/>
      <c r="H42" s="198"/>
      <c r="I42" s="163"/>
      <c r="J42" s="198"/>
      <c r="K42" s="217"/>
      <c r="L42" s="200"/>
      <c r="M42" s="200"/>
      <c r="N42" s="200"/>
      <c r="O42" s="200"/>
    </row>
    <row r="43" spans="1:15">
      <c r="A43" s="172"/>
      <c r="B43" s="241"/>
      <c r="C43" s="241"/>
      <c r="D43" s="174" t="s">
        <v>190</v>
      </c>
      <c r="E43" s="165"/>
      <c r="F43" s="175">
        <v>0</v>
      </c>
      <c r="G43" s="167"/>
      <c r="H43" s="213"/>
      <c r="I43" s="163"/>
      <c r="J43" s="202">
        <f>F43*H43</f>
        <v>0</v>
      </c>
      <c r="K43" s="217"/>
      <c r="L43" s="200"/>
      <c r="M43" s="200"/>
      <c r="N43" s="200"/>
      <c r="O43" s="200"/>
    </row>
    <row r="44" spans="1:15">
      <c r="A44" s="172"/>
      <c r="B44" s="241"/>
      <c r="C44" s="241"/>
      <c r="D44" s="160"/>
      <c r="E44" s="160"/>
      <c r="F44" s="170"/>
      <c r="G44" s="171"/>
      <c r="H44" s="198"/>
      <c r="I44" s="163"/>
      <c r="J44" s="198"/>
      <c r="K44" s="217"/>
      <c r="L44" s="200"/>
      <c r="M44" s="200"/>
      <c r="N44" s="200"/>
      <c r="O44" s="200"/>
    </row>
    <row r="45" spans="1:15" ht="51">
      <c r="A45" s="172" t="s">
        <v>67</v>
      </c>
      <c r="B45" s="241" t="s">
        <v>397</v>
      </c>
      <c r="C45" s="241"/>
      <c r="D45" s="165"/>
      <c r="E45" s="165"/>
      <c r="F45" s="166"/>
      <c r="G45" s="167"/>
      <c r="H45" s="198"/>
      <c r="I45" s="163"/>
      <c r="J45" s="198"/>
      <c r="K45" s="217"/>
      <c r="L45" s="200"/>
      <c r="M45" s="200"/>
      <c r="N45" s="200"/>
      <c r="O45" s="200"/>
    </row>
    <row r="46" spans="1:15">
      <c r="A46" s="172"/>
      <c r="B46" s="241"/>
      <c r="C46" s="241"/>
      <c r="D46" s="174" t="s">
        <v>190</v>
      </c>
      <c r="E46" s="165"/>
      <c r="F46" s="175">
        <v>2</v>
      </c>
      <c r="G46" s="167"/>
      <c r="H46" s="213"/>
      <c r="I46" s="163"/>
      <c r="J46" s="202">
        <f>F46*H46</f>
        <v>0</v>
      </c>
      <c r="K46" s="217"/>
      <c r="L46" s="200"/>
      <c r="M46" s="200"/>
      <c r="N46" s="200"/>
      <c r="O46" s="200"/>
    </row>
    <row r="47" spans="1:15">
      <c r="A47" s="172"/>
      <c r="B47" s="241"/>
      <c r="C47" s="241"/>
      <c r="D47" s="160"/>
      <c r="E47" s="160"/>
      <c r="F47" s="170"/>
      <c r="G47" s="171"/>
      <c r="H47" s="198"/>
      <c r="I47" s="163"/>
      <c r="J47" s="198"/>
      <c r="K47" s="217"/>
      <c r="L47" s="200"/>
      <c r="M47" s="200"/>
      <c r="N47" s="200"/>
      <c r="O47" s="200"/>
    </row>
    <row r="48" spans="1:15" ht="13.5" thickBot="1">
      <c r="A48" s="243"/>
      <c r="B48" s="244" t="s">
        <v>30</v>
      </c>
      <c r="C48" s="244"/>
      <c r="D48" s="186"/>
      <c r="E48" s="186"/>
      <c r="F48" s="234"/>
      <c r="G48" s="235"/>
      <c r="H48" s="189"/>
      <c r="I48" s="236"/>
      <c r="J48" s="189">
        <f>SUM(J40:J46)</f>
        <v>0</v>
      </c>
      <c r="K48" s="217"/>
      <c r="L48" s="200"/>
      <c r="M48" s="200"/>
      <c r="N48" s="200"/>
      <c r="O48" s="200"/>
    </row>
    <row r="49" spans="1:11" ht="13.5" thickTop="1">
      <c r="A49" s="245"/>
      <c r="B49" s="246"/>
      <c r="C49" s="246"/>
      <c r="D49" s="165"/>
      <c r="E49" s="165"/>
      <c r="F49" s="166"/>
      <c r="G49" s="167"/>
      <c r="H49" s="194"/>
      <c r="I49" s="169"/>
      <c r="J49" s="194"/>
      <c r="K49" s="242"/>
    </row>
    <row r="50" spans="1:11" ht="15.75">
      <c r="A50" s="247" t="s">
        <v>67</v>
      </c>
      <c r="B50" s="248" t="s">
        <v>31</v>
      </c>
      <c r="C50" s="248"/>
      <c r="D50" s="192"/>
      <c r="E50" s="192"/>
      <c r="F50" s="166"/>
      <c r="G50" s="167"/>
      <c r="H50" s="150"/>
      <c r="I50" s="163"/>
      <c r="J50" s="198"/>
      <c r="K50" s="242"/>
    </row>
    <row r="51" spans="1:11" ht="25.5">
      <c r="A51" s="172" t="s">
        <v>58</v>
      </c>
      <c r="B51" s="173" t="s">
        <v>32</v>
      </c>
      <c r="C51" s="173"/>
      <c r="D51" s="251" t="s">
        <v>60</v>
      </c>
      <c r="E51" s="179"/>
      <c r="F51" s="175">
        <f>F9</f>
        <v>339.86</v>
      </c>
      <c r="G51" s="167"/>
      <c r="H51" s="213"/>
      <c r="I51" s="163"/>
      <c r="J51" s="202">
        <f>F51*H51</f>
        <v>0</v>
      </c>
      <c r="K51" s="242"/>
    </row>
    <row r="52" spans="1:11">
      <c r="A52" s="172"/>
      <c r="B52" s="173"/>
      <c r="C52" s="173"/>
      <c r="D52" s="179"/>
      <c r="E52" s="179"/>
      <c r="F52" s="170"/>
      <c r="G52" s="171"/>
      <c r="H52" s="150"/>
      <c r="I52" s="163"/>
      <c r="J52" s="198"/>
      <c r="K52" s="242"/>
    </row>
    <row r="53" spans="1:11">
      <c r="A53" s="172" t="s">
        <v>67</v>
      </c>
      <c r="B53" s="173" t="s">
        <v>33</v>
      </c>
      <c r="C53" s="173"/>
      <c r="D53" s="251" t="s">
        <v>60</v>
      </c>
      <c r="E53" s="179"/>
      <c r="F53" s="175">
        <f>F9</f>
        <v>339.86</v>
      </c>
      <c r="G53" s="167"/>
      <c r="H53" s="213"/>
      <c r="I53" s="163"/>
      <c r="J53" s="202">
        <f>F53*H53</f>
        <v>0</v>
      </c>
      <c r="K53" s="242"/>
    </row>
    <row r="54" spans="1:11">
      <c r="A54" s="172"/>
      <c r="B54" s="173"/>
      <c r="C54" s="173"/>
      <c r="D54" s="179"/>
      <c r="E54" s="179"/>
      <c r="F54" s="170"/>
      <c r="G54" s="171"/>
      <c r="H54" s="150"/>
      <c r="I54" s="163"/>
      <c r="J54" s="198"/>
      <c r="K54" s="242"/>
    </row>
    <row r="55" spans="1:11">
      <c r="A55" s="172" t="s">
        <v>68</v>
      </c>
      <c r="B55" s="173" t="s">
        <v>34</v>
      </c>
      <c r="C55" s="173"/>
      <c r="D55" s="251" t="s">
        <v>190</v>
      </c>
      <c r="E55" s="179"/>
      <c r="F55" s="175">
        <v>2</v>
      </c>
      <c r="G55" s="167"/>
      <c r="H55" s="213"/>
      <c r="I55" s="163"/>
      <c r="J55" s="202">
        <f>F55*H55</f>
        <v>0</v>
      </c>
      <c r="K55" s="242"/>
    </row>
    <row r="56" spans="1:11">
      <c r="A56" s="172"/>
      <c r="B56" s="173"/>
      <c r="C56" s="173"/>
      <c r="D56" s="179"/>
      <c r="E56" s="179"/>
      <c r="F56" s="170"/>
      <c r="G56" s="171"/>
      <c r="H56" s="150"/>
      <c r="I56" s="163"/>
      <c r="J56" s="198"/>
      <c r="K56" s="242"/>
    </row>
    <row r="57" spans="1:11">
      <c r="A57" s="172"/>
      <c r="B57" s="173"/>
      <c r="C57" s="173"/>
      <c r="D57" s="192"/>
      <c r="E57" s="192"/>
      <c r="F57" s="166"/>
      <c r="G57" s="167"/>
      <c r="H57" s="215"/>
      <c r="I57" s="169"/>
      <c r="J57" s="194"/>
      <c r="K57" s="242"/>
    </row>
    <row r="58" spans="1:11">
      <c r="A58" s="172"/>
      <c r="B58" s="173"/>
      <c r="C58" s="173"/>
      <c r="D58" s="192"/>
      <c r="E58" s="192"/>
      <c r="F58" s="166"/>
      <c r="G58" s="167"/>
      <c r="H58" s="168"/>
      <c r="I58" s="169"/>
      <c r="J58" s="194"/>
      <c r="K58" s="242"/>
    </row>
    <row r="59" spans="1:11" ht="13.5" thickBot="1">
      <c r="A59" s="183"/>
      <c r="B59" s="252" t="s">
        <v>36</v>
      </c>
      <c r="C59" s="252"/>
      <c r="D59" s="725"/>
      <c r="E59" s="725"/>
      <c r="F59" s="726"/>
      <c r="G59" s="727"/>
      <c r="H59" s="728"/>
      <c r="I59" s="729"/>
      <c r="J59" s="730">
        <f>SUM(J51:J57)</f>
        <v>0</v>
      </c>
      <c r="K59" s="242"/>
    </row>
    <row r="60" spans="1:11" ht="13.5" thickTop="1">
      <c r="A60" s="190"/>
      <c r="B60" s="255"/>
      <c r="C60" s="255"/>
      <c r="D60" s="256"/>
      <c r="E60" s="256"/>
      <c r="F60" s="166"/>
      <c r="G60" s="167"/>
      <c r="H60" s="168"/>
      <c r="I60" s="169"/>
      <c r="J60" s="194"/>
      <c r="K60" s="242"/>
    </row>
    <row r="61" spans="1:11">
      <c r="A61" s="190"/>
      <c r="B61" s="255"/>
      <c r="C61" s="255"/>
      <c r="D61" s="256"/>
      <c r="E61" s="256"/>
      <c r="F61" s="166"/>
      <c r="G61" s="167"/>
      <c r="H61" s="168"/>
      <c r="I61" s="169"/>
      <c r="J61" s="194"/>
      <c r="K61" s="242"/>
    </row>
    <row r="62" spans="1:11">
      <c r="A62" s="190"/>
      <c r="B62" s="255"/>
      <c r="C62" s="255"/>
      <c r="D62" s="256"/>
      <c r="E62" s="256"/>
      <c r="F62" s="166"/>
      <c r="G62" s="167"/>
      <c r="H62" s="150"/>
      <c r="I62" s="163"/>
      <c r="J62" s="198"/>
      <c r="K62" s="242"/>
    </row>
    <row r="63" spans="1:11">
      <c r="A63" s="190"/>
      <c r="B63" s="255"/>
      <c r="C63" s="255"/>
      <c r="D63" s="256"/>
      <c r="E63" s="256"/>
      <c r="F63" s="166"/>
      <c r="G63" s="167"/>
      <c r="H63" s="150"/>
      <c r="I63" s="163"/>
      <c r="J63" s="198"/>
      <c r="K63" s="242"/>
    </row>
    <row r="64" spans="1:11">
      <c r="A64" s="190"/>
      <c r="B64" s="255"/>
      <c r="C64" s="255"/>
      <c r="D64" s="256"/>
      <c r="E64" s="256"/>
      <c r="F64" s="166"/>
      <c r="G64" s="167"/>
      <c r="H64" s="150"/>
      <c r="I64" s="163"/>
      <c r="J64" s="198"/>
      <c r="K64" s="242"/>
    </row>
    <row r="65" spans="1:18">
      <c r="A65" s="190"/>
      <c r="B65" s="255"/>
      <c r="C65" s="255"/>
      <c r="D65" s="256"/>
      <c r="E65" s="256"/>
      <c r="F65" s="166"/>
      <c r="G65" s="167"/>
      <c r="H65" s="150"/>
      <c r="I65" s="163"/>
      <c r="J65" s="198"/>
      <c r="K65" s="242"/>
    </row>
    <row r="66" spans="1:18">
      <c r="A66" s="190"/>
      <c r="B66" s="255"/>
      <c r="C66" s="255"/>
      <c r="D66" s="256"/>
      <c r="E66" s="256"/>
      <c r="F66" s="166"/>
      <c r="G66" s="167"/>
      <c r="H66" s="150"/>
      <c r="I66" s="163"/>
      <c r="J66" s="198"/>
      <c r="K66" s="242"/>
    </row>
    <row r="67" spans="1:18">
      <c r="A67" s="190"/>
      <c r="B67" s="255"/>
      <c r="C67" s="255"/>
      <c r="D67" s="256"/>
      <c r="E67" s="256"/>
      <c r="F67" s="166"/>
      <c r="G67" s="167"/>
      <c r="H67" s="150"/>
      <c r="I67" s="163"/>
      <c r="J67" s="198"/>
      <c r="K67" s="242"/>
    </row>
    <row r="68" spans="1:18">
      <c r="A68" s="190"/>
      <c r="B68" s="255"/>
      <c r="C68" s="255"/>
      <c r="D68" s="256"/>
      <c r="E68" s="256"/>
      <c r="F68" s="166"/>
      <c r="G68" s="167"/>
      <c r="H68" s="150"/>
      <c r="I68" s="163"/>
      <c r="J68" s="198"/>
      <c r="K68" s="242"/>
    </row>
    <row r="69" spans="1:18">
      <c r="A69" s="172"/>
      <c r="B69" s="258"/>
      <c r="C69" s="258"/>
      <c r="D69" s="257"/>
      <c r="E69" s="257"/>
      <c r="F69" s="170"/>
      <c r="G69" s="171"/>
      <c r="H69" s="150"/>
      <c r="I69" s="163"/>
      <c r="J69" s="198"/>
      <c r="K69" s="242"/>
    </row>
    <row r="70" spans="1:18">
      <c r="B70" s="242"/>
      <c r="C70" s="242"/>
      <c r="D70" s="242"/>
      <c r="E70" s="242"/>
      <c r="F70" s="206"/>
      <c r="G70" s="242"/>
      <c r="H70" s="260"/>
      <c r="I70" s="261"/>
      <c r="J70" s="262"/>
      <c r="K70" s="242"/>
    </row>
    <row r="71" spans="1:18">
      <c r="B71" s="242"/>
      <c r="C71" s="242"/>
      <c r="D71" s="242"/>
      <c r="E71" s="242"/>
      <c r="F71" s="206"/>
      <c r="G71" s="242"/>
      <c r="H71" s="260"/>
      <c r="I71" s="261"/>
      <c r="J71" s="262"/>
      <c r="K71" s="242"/>
    </row>
    <row r="72" spans="1:18">
      <c r="B72" s="242"/>
      <c r="C72" s="242"/>
      <c r="D72" s="242"/>
      <c r="E72" s="242"/>
      <c r="F72" s="206"/>
      <c r="G72" s="242"/>
      <c r="H72" s="260"/>
      <c r="I72" s="261"/>
      <c r="J72" s="262"/>
      <c r="K72" s="242"/>
    </row>
    <row r="73" spans="1:18">
      <c r="B73" s="242"/>
      <c r="C73" s="242"/>
      <c r="D73" s="242"/>
      <c r="E73" s="242"/>
      <c r="F73" s="206"/>
      <c r="G73" s="242"/>
      <c r="H73" s="260"/>
      <c r="I73" s="261"/>
      <c r="J73" s="262"/>
      <c r="K73" s="242"/>
    </row>
    <row r="74" spans="1:18">
      <c r="B74" s="242"/>
      <c r="C74" s="242"/>
      <c r="D74" s="242"/>
      <c r="E74" s="242"/>
      <c r="F74" s="206"/>
      <c r="G74" s="242"/>
      <c r="H74" s="260"/>
      <c r="I74" s="261"/>
      <c r="J74" s="262"/>
      <c r="K74" s="242"/>
      <c r="Q74" s="259"/>
      <c r="R74" s="259"/>
    </row>
    <row r="75" spans="1:18">
      <c r="B75" s="242"/>
      <c r="C75" s="242"/>
      <c r="D75" s="242"/>
      <c r="E75" s="242"/>
      <c r="F75" s="206"/>
      <c r="G75" s="242"/>
      <c r="H75" s="260"/>
      <c r="I75" s="261"/>
      <c r="J75" s="262"/>
      <c r="K75" s="242"/>
      <c r="Q75" s="259"/>
      <c r="R75" s="259"/>
    </row>
    <row r="76" spans="1:18">
      <c r="B76" s="242"/>
      <c r="C76" s="242"/>
      <c r="D76" s="242"/>
      <c r="E76" s="242"/>
      <c r="F76" s="206"/>
      <c r="G76" s="242"/>
      <c r="H76" s="260"/>
      <c r="I76" s="261"/>
      <c r="J76" s="262"/>
      <c r="K76" s="242"/>
      <c r="Q76" s="259"/>
      <c r="R76" s="259"/>
    </row>
    <row r="77" spans="1:18">
      <c r="B77" s="242"/>
      <c r="C77" s="242"/>
      <c r="D77" s="242"/>
      <c r="E77" s="242"/>
      <c r="F77" s="206"/>
      <c r="G77" s="242"/>
      <c r="H77" s="260"/>
      <c r="I77" s="261"/>
      <c r="J77" s="262"/>
      <c r="K77" s="242"/>
      <c r="Q77" s="259"/>
      <c r="R77" s="259"/>
    </row>
    <row r="78" spans="1:18">
      <c r="B78" s="242"/>
      <c r="C78" s="242"/>
      <c r="D78" s="242"/>
      <c r="E78" s="242"/>
      <c r="F78" s="206"/>
      <c r="G78" s="242"/>
      <c r="H78" s="260"/>
      <c r="I78" s="261"/>
      <c r="J78" s="262"/>
      <c r="K78" s="242"/>
      <c r="Q78" s="259"/>
      <c r="R78" s="259"/>
    </row>
    <row r="79" spans="1:18">
      <c r="B79" s="242"/>
      <c r="C79" s="242"/>
      <c r="D79" s="242"/>
      <c r="E79" s="242"/>
      <c r="F79" s="206"/>
      <c r="G79" s="242"/>
      <c r="H79" s="260"/>
      <c r="I79" s="261"/>
      <c r="J79" s="262"/>
      <c r="K79" s="242"/>
      <c r="Q79" s="259"/>
      <c r="R79" s="259"/>
    </row>
    <row r="80" spans="1:18">
      <c r="B80" s="242"/>
      <c r="C80" s="242"/>
      <c r="D80" s="242"/>
      <c r="E80" s="242"/>
      <c r="F80" s="206"/>
      <c r="G80" s="242"/>
      <c r="H80" s="260"/>
      <c r="I80" s="261"/>
      <c r="J80" s="262"/>
      <c r="K80" s="242"/>
      <c r="Q80" s="259"/>
      <c r="R80" s="259"/>
    </row>
    <row r="81" spans="2:18">
      <c r="B81" s="242"/>
      <c r="C81" s="242"/>
      <c r="D81" s="242"/>
      <c r="E81" s="242"/>
      <c r="F81" s="206"/>
      <c r="G81" s="242"/>
      <c r="H81" s="260"/>
      <c r="I81" s="261"/>
      <c r="J81" s="262"/>
      <c r="K81" s="242"/>
      <c r="Q81" s="259"/>
      <c r="R81" s="259"/>
    </row>
    <row r="82" spans="2:18">
      <c r="B82" s="242"/>
      <c r="C82" s="242"/>
      <c r="D82" s="242"/>
      <c r="E82" s="242"/>
      <c r="F82" s="206"/>
      <c r="G82" s="242"/>
      <c r="H82" s="260"/>
      <c r="I82" s="261"/>
      <c r="J82" s="262"/>
      <c r="K82" s="242"/>
      <c r="Q82" s="259"/>
      <c r="R82" s="259"/>
    </row>
    <row r="83" spans="2:18">
      <c r="B83" s="242"/>
      <c r="C83" s="242"/>
      <c r="D83" s="242"/>
      <c r="E83" s="242"/>
      <c r="F83" s="206"/>
      <c r="G83" s="242"/>
      <c r="H83" s="260"/>
      <c r="I83" s="261"/>
      <c r="J83" s="262"/>
      <c r="K83" s="242"/>
      <c r="Q83" s="259"/>
      <c r="R83" s="259"/>
    </row>
    <row r="84" spans="2:18">
      <c r="B84" s="242"/>
      <c r="C84" s="242"/>
      <c r="D84" s="242"/>
      <c r="E84" s="242"/>
      <c r="F84" s="206"/>
      <c r="G84" s="242"/>
      <c r="H84" s="260"/>
      <c r="I84" s="261"/>
      <c r="J84" s="262"/>
      <c r="K84" s="263"/>
      <c r="L84" s="263"/>
      <c r="M84" s="264"/>
      <c r="Q84" s="259"/>
      <c r="R84" s="259"/>
    </row>
    <row r="85" spans="2:18">
      <c r="B85" s="242"/>
      <c r="C85" s="242"/>
      <c r="D85" s="242"/>
      <c r="E85" s="242"/>
      <c r="F85" s="206"/>
      <c r="G85" s="242"/>
      <c r="H85" s="260"/>
      <c r="I85" s="261"/>
      <c r="J85" s="262"/>
      <c r="K85" s="265"/>
      <c r="L85" s="265"/>
      <c r="M85" s="264"/>
    </row>
    <row r="86" spans="2:18">
      <c r="B86" s="242"/>
      <c r="C86" s="242"/>
      <c r="D86" s="242"/>
      <c r="E86" s="242"/>
      <c r="F86" s="206"/>
      <c r="G86" s="242"/>
      <c r="H86" s="260"/>
      <c r="I86" s="261"/>
      <c r="J86" s="262"/>
      <c r="K86" s="261"/>
      <c r="L86" s="261"/>
      <c r="M86" s="264"/>
    </row>
    <row r="87" spans="2:18">
      <c r="B87" s="242"/>
      <c r="C87" s="242"/>
      <c r="D87" s="242"/>
      <c r="E87" s="242"/>
      <c r="F87" s="206"/>
      <c r="G87" s="242"/>
      <c r="H87" s="260"/>
      <c r="I87" s="261"/>
      <c r="J87" s="262"/>
      <c r="K87" s="242"/>
    </row>
    <row r="88" spans="2:18">
      <c r="B88" s="242"/>
      <c r="C88" s="242"/>
      <c r="D88" s="242"/>
      <c r="E88" s="242"/>
      <c r="F88" s="206"/>
      <c r="G88" s="242"/>
      <c r="H88" s="260"/>
      <c r="I88" s="261"/>
      <c r="J88" s="262"/>
      <c r="K88" s="242"/>
    </row>
    <row r="89" spans="2:18">
      <c r="B89" s="242"/>
      <c r="C89" s="242"/>
      <c r="D89" s="242"/>
      <c r="E89" s="242"/>
      <c r="F89" s="206"/>
      <c r="G89" s="242"/>
      <c r="H89" s="260"/>
      <c r="I89" s="261"/>
      <c r="J89" s="262"/>
      <c r="K89" s="242"/>
    </row>
    <row r="90" spans="2:18">
      <c r="B90" s="242"/>
      <c r="C90" s="242"/>
      <c r="D90" s="242"/>
      <c r="E90" s="242"/>
      <c r="F90" s="206"/>
      <c r="G90" s="242"/>
      <c r="H90" s="260"/>
      <c r="I90" s="261"/>
      <c r="J90" s="262"/>
      <c r="K90" s="242"/>
    </row>
    <row r="91" spans="2:18">
      <c r="B91" s="242"/>
      <c r="C91" s="242"/>
      <c r="D91" s="242"/>
      <c r="E91" s="242"/>
      <c r="F91" s="206"/>
      <c r="G91" s="242"/>
      <c r="H91" s="260"/>
      <c r="I91" s="261"/>
      <c r="J91" s="262"/>
      <c r="K91" s="242"/>
    </row>
    <row r="92" spans="2:18">
      <c r="B92" s="242"/>
      <c r="C92" s="242"/>
      <c r="D92" s="242"/>
      <c r="E92" s="242"/>
      <c r="F92" s="206"/>
      <c r="G92" s="242"/>
      <c r="H92" s="260"/>
      <c r="I92" s="261"/>
      <c r="J92" s="262"/>
      <c r="K92" s="242"/>
    </row>
    <row r="93" spans="2:18">
      <c r="B93" s="242"/>
      <c r="C93" s="242"/>
      <c r="D93" s="242"/>
      <c r="E93" s="242"/>
      <c r="F93" s="206"/>
      <c r="G93" s="242"/>
      <c r="H93" s="260"/>
      <c r="I93" s="261"/>
      <c r="J93" s="262"/>
      <c r="K93" s="242"/>
    </row>
    <row r="94" spans="2:18">
      <c r="B94" s="242"/>
      <c r="C94" s="242"/>
      <c r="D94" s="242"/>
      <c r="E94" s="242"/>
      <c r="F94" s="206"/>
      <c r="G94" s="242"/>
      <c r="H94" s="260"/>
      <c r="I94" s="261"/>
      <c r="J94" s="262"/>
      <c r="K94" s="242"/>
    </row>
    <row r="95" spans="2:18">
      <c r="B95" s="242"/>
      <c r="C95" s="242"/>
      <c r="D95" s="242"/>
      <c r="E95" s="242"/>
      <c r="F95" s="206"/>
      <c r="G95" s="242"/>
      <c r="H95" s="260"/>
      <c r="I95" s="261"/>
      <c r="J95" s="262"/>
      <c r="K95" s="242"/>
    </row>
    <row r="96" spans="2:18">
      <c r="B96" s="242"/>
      <c r="C96" s="242"/>
      <c r="D96" s="242"/>
      <c r="E96" s="242"/>
      <c r="F96" s="206"/>
      <c r="G96" s="242"/>
      <c r="H96" s="260"/>
      <c r="I96" s="261"/>
      <c r="J96" s="262"/>
      <c r="K96" s="242"/>
    </row>
    <row r="97" spans="2:11">
      <c r="B97" s="242"/>
      <c r="C97" s="242"/>
      <c r="D97" s="242"/>
      <c r="E97" s="242"/>
      <c r="F97" s="206"/>
      <c r="G97" s="242"/>
      <c r="H97" s="260"/>
      <c r="I97" s="261"/>
      <c r="J97" s="262"/>
      <c r="K97" s="242"/>
    </row>
    <row r="98" spans="2:11">
      <c r="B98" s="242"/>
      <c r="C98" s="242"/>
      <c r="D98" s="242"/>
      <c r="E98" s="242"/>
      <c r="F98" s="206"/>
      <c r="G98" s="242"/>
      <c r="H98" s="260"/>
      <c r="I98" s="261"/>
      <c r="J98" s="262"/>
      <c r="K98" s="242"/>
    </row>
    <row r="99" spans="2:11">
      <c r="B99" s="242"/>
      <c r="C99" s="242"/>
      <c r="D99" s="242"/>
      <c r="E99" s="242"/>
      <c r="F99" s="206"/>
      <c r="G99" s="242"/>
      <c r="H99" s="260"/>
      <c r="I99" s="261"/>
      <c r="J99" s="262"/>
      <c r="K99" s="242"/>
    </row>
    <row r="100" spans="2:11">
      <c r="B100" s="242"/>
      <c r="C100" s="242"/>
      <c r="D100" s="242"/>
      <c r="E100" s="242"/>
      <c r="F100" s="206"/>
      <c r="G100" s="242"/>
      <c r="H100" s="260"/>
      <c r="I100" s="261"/>
      <c r="J100" s="262"/>
      <c r="K100" s="242"/>
    </row>
    <row r="101" spans="2:11">
      <c r="B101" s="242"/>
      <c r="C101" s="242"/>
      <c r="D101" s="242"/>
      <c r="E101" s="242"/>
      <c r="F101" s="206"/>
      <c r="G101" s="242"/>
      <c r="H101" s="260"/>
      <c r="I101" s="261"/>
      <c r="J101" s="262"/>
      <c r="K101" s="242"/>
    </row>
    <row r="102" spans="2:11">
      <c r="B102" s="242"/>
      <c r="C102" s="242"/>
      <c r="D102" s="242"/>
      <c r="E102" s="242"/>
      <c r="F102" s="206"/>
      <c r="G102" s="242"/>
      <c r="H102" s="260"/>
      <c r="I102" s="261"/>
      <c r="J102" s="262"/>
      <c r="K102" s="242"/>
    </row>
    <row r="103" spans="2:11">
      <c r="B103" s="242"/>
      <c r="C103" s="242"/>
      <c r="D103" s="242"/>
      <c r="E103" s="242"/>
      <c r="F103" s="206"/>
      <c r="G103" s="242"/>
      <c r="H103" s="260"/>
      <c r="I103" s="261"/>
      <c r="J103" s="262"/>
      <c r="K103" s="242"/>
    </row>
    <row r="104" spans="2:11">
      <c r="B104" s="242"/>
      <c r="C104" s="242"/>
      <c r="D104" s="242"/>
      <c r="E104" s="242"/>
      <c r="F104" s="206"/>
      <c r="G104" s="242"/>
      <c r="H104" s="260"/>
      <c r="I104" s="261"/>
      <c r="J104" s="262"/>
      <c r="K104" s="242"/>
    </row>
    <row r="105" spans="2:11">
      <c r="B105" s="242"/>
      <c r="C105" s="242"/>
      <c r="D105" s="242"/>
      <c r="E105" s="242"/>
      <c r="F105" s="206"/>
      <c r="G105" s="242"/>
      <c r="H105" s="260"/>
      <c r="I105" s="261"/>
      <c r="J105" s="262"/>
      <c r="K105" s="242"/>
    </row>
    <row r="106" spans="2:11">
      <c r="B106" s="242"/>
      <c r="C106" s="242"/>
      <c r="D106" s="242"/>
      <c r="E106" s="242"/>
      <c r="F106" s="206"/>
      <c r="G106" s="242"/>
      <c r="H106" s="260"/>
      <c r="I106" s="261"/>
      <c r="J106" s="262"/>
      <c r="K106" s="242"/>
    </row>
    <row r="107" spans="2:11">
      <c r="B107" s="242"/>
      <c r="C107" s="242"/>
      <c r="D107" s="242"/>
      <c r="E107" s="242"/>
      <c r="F107" s="206"/>
      <c r="G107" s="242"/>
      <c r="H107" s="260"/>
      <c r="I107" s="261"/>
      <c r="J107" s="262"/>
      <c r="K107" s="242"/>
    </row>
    <row r="108" spans="2:11">
      <c r="B108" s="242"/>
      <c r="C108" s="242"/>
      <c r="D108" s="242"/>
      <c r="E108" s="242"/>
      <c r="F108" s="206"/>
      <c r="G108" s="242"/>
      <c r="H108" s="260"/>
      <c r="I108" s="261"/>
      <c r="J108" s="262"/>
      <c r="K108" s="242"/>
    </row>
    <row r="109" spans="2:11">
      <c r="D109" s="242"/>
      <c r="E109" s="242"/>
      <c r="F109" s="206"/>
      <c r="G109" s="242"/>
      <c r="H109" s="260"/>
      <c r="I109" s="261"/>
      <c r="J109" s="262"/>
      <c r="K109" s="242"/>
    </row>
    <row r="110" spans="2:11">
      <c r="D110" s="242"/>
      <c r="E110" s="242"/>
      <c r="F110" s="206"/>
      <c r="G110" s="242"/>
      <c r="H110" s="260"/>
      <c r="I110" s="261"/>
      <c r="J110" s="262"/>
      <c r="K110" s="242"/>
    </row>
    <row r="111" spans="2:11">
      <c r="D111" s="242"/>
      <c r="E111" s="242"/>
      <c r="F111" s="206"/>
      <c r="G111" s="242"/>
      <c r="H111" s="260"/>
      <c r="I111" s="261"/>
      <c r="J111" s="262"/>
      <c r="K111" s="242"/>
    </row>
    <row r="112" spans="2:11">
      <c r="D112" s="242"/>
      <c r="E112" s="242"/>
      <c r="F112" s="206"/>
      <c r="G112" s="242"/>
      <c r="H112" s="260"/>
      <c r="I112" s="261"/>
      <c r="J112" s="262"/>
      <c r="K112" s="242"/>
    </row>
    <row r="113" spans="4:11">
      <c r="D113" s="242"/>
      <c r="E113" s="242"/>
      <c r="F113" s="206"/>
      <c r="G113" s="242"/>
      <c r="H113" s="260"/>
      <c r="I113" s="261"/>
      <c r="J113" s="262"/>
      <c r="K113" s="242"/>
    </row>
    <row r="114" spans="4:11">
      <c r="D114" s="242"/>
      <c r="E114" s="242"/>
      <c r="F114" s="206"/>
      <c r="G114" s="242"/>
      <c r="H114" s="260"/>
      <c r="I114" s="261"/>
      <c r="J114" s="262"/>
      <c r="K114" s="242"/>
    </row>
    <row r="115" spans="4:11">
      <c r="D115" s="242"/>
      <c r="E115" s="242"/>
      <c r="F115" s="206"/>
      <c r="G115" s="242"/>
      <c r="H115" s="260"/>
      <c r="I115" s="261"/>
      <c r="J115" s="262"/>
      <c r="K115" s="242"/>
    </row>
    <row r="116" spans="4:11">
      <c r="D116" s="242"/>
      <c r="E116" s="242"/>
      <c r="F116" s="206"/>
      <c r="G116" s="242"/>
      <c r="H116" s="260"/>
      <c r="I116" s="261"/>
      <c r="J116" s="262"/>
      <c r="K116" s="242"/>
    </row>
    <row r="117" spans="4:11">
      <c r="D117" s="242"/>
      <c r="E117" s="242"/>
      <c r="F117" s="206"/>
      <c r="G117" s="242"/>
      <c r="H117" s="260"/>
      <c r="I117" s="261"/>
      <c r="J117" s="262"/>
      <c r="K117" s="242"/>
    </row>
    <row r="118" spans="4:11">
      <c r="D118" s="242"/>
      <c r="E118" s="242"/>
      <c r="F118" s="206"/>
      <c r="G118" s="242"/>
      <c r="H118" s="260"/>
      <c r="I118" s="261"/>
      <c r="J118" s="262"/>
      <c r="K118" s="242"/>
    </row>
    <row r="119" spans="4:11">
      <c r="D119" s="242"/>
      <c r="E119" s="242"/>
      <c r="F119" s="206"/>
      <c r="G119" s="242"/>
      <c r="H119" s="260"/>
      <c r="I119" s="261"/>
      <c r="J119" s="262"/>
      <c r="K119" s="242"/>
    </row>
    <row r="120" spans="4:11">
      <c r="D120" s="242"/>
      <c r="E120" s="242"/>
      <c r="F120" s="206"/>
      <c r="G120" s="242"/>
      <c r="H120" s="260"/>
      <c r="I120" s="261"/>
      <c r="J120" s="262"/>
      <c r="K120" s="242"/>
    </row>
    <row r="121" spans="4:11">
      <c r="D121" s="242"/>
      <c r="E121" s="242"/>
      <c r="F121" s="206"/>
      <c r="G121" s="242"/>
      <c r="H121" s="260"/>
      <c r="I121" s="261"/>
      <c r="J121" s="262"/>
      <c r="K121" s="242"/>
    </row>
    <row r="122" spans="4:11">
      <c r="D122" s="242"/>
      <c r="E122" s="242"/>
      <c r="F122" s="206"/>
      <c r="G122" s="242"/>
      <c r="H122" s="260"/>
      <c r="I122" s="261"/>
      <c r="J122" s="262"/>
      <c r="K122" s="242"/>
    </row>
    <row r="123" spans="4:11">
      <c r="D123" s="242"/>
      <c r="E123" s="242"/>
      <c r="F123" s="206"/>
      <c r="G123" s="242"/>
      <c r="H123" s="260"/>
      <c r="I123" s="261"/>
      <c r="J123" s="262"/>
      <c r="K123" s="242"/>
    </row>
    <row r="124" spans="4:11">
      <c r="D124" s="242"/>
      <c r="E124" s="242"/>
      <c r="F124" s="206"/>
      <c r="G124" s="242"/>
      <c r="H124" s="260"/>
      <c r="I124" s="261"/>
      <c r="J124" s="262"/>
      <c r="K124" s="242"/>
    </row>
    <row r="125" spans="4:11">
      <c r="D125" s="242"/>
      <c r="E125" s="242"/>
      <c r="F125" s="206"/>
      <c r="G125" s="242"/>
      <c r="H125" s="260"/>
      <c r="I125" s="261"/>
      <c r="J125" s="262"/>
      <c r="K125" s="242"/>
    </row>
    <row r="126" spans="4:11">
      <c r="D126" s="242"/>
      <c r="E126" s="242"/>
      <c r="F126" s="206"/>
      <c r="G126" s="242"/>
      <c r="H126" s="260"/>
      <c r="I126" s="261"/>
      <c r="J126" s="262"/>
    </row>
    <row r="127" spans="4:11">
      <c r="D127" s="242"/>
      <c r="E127" s="242"/>
      <c r="F127" s="206"/>
      <c r="G127" s="242"/>
      <c r="H127" s="260"/>
      <c r="I127" s="261"/>
      <c r="J127" s="262"/>
    </row>
    <row r="128" spans="4:11">
      <c r="D128" s="242"/>
      <c r="E128" s="242"/>
      <c r="F128" s="206"/>
      <c r="G128" s="242"/>
      <c r="H128" s="260"/>
      <c r="I128" s="261"/>
      <c r="J128" s="262"/>
    </row>
    <row r="129" spans="4:10">
      <c r="D129" s="242"/>
      <c r="E129" s="242"/>
      <c r="F129" s="206"/>
      <c r="G129" s="242"/>
      <c r="H129" s="260"/>
      <c r="I129" s="261"/>
      <c r="J129" s="262"/>
    </row>
    <row r="130" spans="4:10">
      <c r="D130" s="242"/>
      <c r="E130" s="242"/>
      <c r="F130" s="206"/>
      <c r="G130" s="242"/>
      <c r="H130" s="260"/>
      <c r="I130" s="261"/>
      <c r="J130" s="262"/>
    </row>
    <row r="131" spans="4:10">
      <c r="D131" s="242"/>
      <c r="E131" s="242"/>
      <c r="F131" s="206"/>
      <c r="G131" s="242"/>
      <c r="H131" s="260"/>
      <c r="I131" s="261"/>
      <c r="J131" s="262"/>
    </row>
    <row r="132" spans="4:10">
      <c r="D132" s="242"/>
      <c r="E132" s="242"/>
      <c r="F132" s="206"/>
      <c r="G132" s="242"/>
      <c r="H132" s="260"/>
      <c r="I132" s="261"/>
      <c r="J132" s="262"/>
    </row>
    <row r="133" spans="4:10">
      <c r="D133" s="242"/>
      <c r="E133" s="242"/>
      <c r="F133" s="206"/>
      <c r="G133" s="242"/>
      <c r="H133" s="260"/>
      <c r="I133" s="266"/>
      <c r="J133" s="262"/>
    </row>
    <row r="134" spans="4:10">
      <c r="D134" s="242"/>
      <c r="E134" s="242"/>
      <c r="F134" s="206"/>
      <c r="G134" s="242"/>
      <c r="H134" s="260"/>
      <c r="I134" s="266"/>
      <c r="J134" s="262"/>
    </row>
    <row r="135" spans="4:10">
      <c r="D135" s="242"/>
      <c r="E135" s="242"/>
      <c r="F135" s="206"/>
      <c r="G135" s="242"/>
      <c r="H135" s="260"/>
      <c r="I135" s="266"/>
      <c r="J135" s="262"/>
    </row>
    <row r="136" spans="4:10">
      <c r="D136" s="242"/>
      <c r="E136" s="242"/>
      <c r="F136" s="206"/>
      <c r="G136" s="242"/>
      <c r="H136" s="260"/>
      <c r="I136" s="266"/>
      <c r="J136" s="262"/>
    </row>
    <row r="137" spans="4:10">
      <c r="D137" s="242"/>
      <c r="E137" s="242"/>
      <c r="F137" s="206"/>
      <c r="G137" s="242"/>
      <c r="H137" s="260"/>
      <c r="I137" s="266"/>
      <c r="J137" s="262"/>
    </row>
    <row r="138" spans="4:10">
      <c r="D138" s="242"/>
      <c r="E138" s="242"/>
      <c r="F138" s="206"/>
      <c r="G138" s="242"/>
      <c r="H138" s="260"/>
      <c r="I138" s="266"/>
      <c r="J138" s="262"/>
    </row>
    <row r="139" spans="4:10">
      <c r="D139" s="242"/>
      <c r="E139" s="242"/>
      <c r="F139" s="206"/>
      <c r="G139" s="242"/>
      <c r="H139" s="260"/>
      <c r="I139" s="266"/>
      <c r="J139" s="262"/>
    </row>
    <row r="140" spans="4:10">
      <c r="D140" s="242"/>
      <c r="E140" s="242"/>
      <c r="F140" s="206"/>
      <c r="G140" s="242"/>
      <c r="H140" s="260"/>
      <c r="I140" s="266"/>
      <c r="J140" s="262"/>
    </row>
    <row r="141" spans="4:10">
      <c r="D141" s="242"/>
      <c r="E141" s="242"/>
      <c r="F141" s="206"/>
      <c r="G141" s="242"/>
      <c r="H141" s="260"/>
      <c r="I141" s="266"/>
      <c r="J141" s="262"/>
    </row>
    <row r="142" spans="4:10">
      <c r="D142" s="242"/>
      <c r="E142" s="242"/>
      <c r="F142" s="206"/>
      <c r="G142" s="242"/>
      <c r="H142" s="260"/>
      <c r="I142" s="266"/>
      <c r="J142" s="262"/>
    </row>
    <row r="143" spans="4:10">
      <c r="D143" s="242"/>
      <c r="E143" s="242"/>
      <c r="F143" s="206"/>
      <c r="G143" s="242"/>
      <c r="H143" s="260"/>
      <c r="I143" s="266"/>
      <c r="J143" s="262"/>
    </row>
    <row r="144" spans="4:10">
      <c r="D144" s="242"/>
      <c r="E144" s="242"/>
      <c r="F144" s="206"/>
      <c r="G144" s="242"/>
      <c r="H144" s="260"/>
      <c r="I144" s="266"/>
      <c r="J144" s="262"/>
    </row>
    <row r="145" spans="4:10">
      <c r="D145" s="242"/>
      <c r="E145" s="242"/>
      <c r="F145" s="206"/>
      <c r="G145" s="242"/>
      <c r="H145" s="260"/>
      <c r="I145" s="266"/>
      <c r="J145" s="262"/>
    </row>
    <row r="146" spans="4:10">
      <c r="D146" s="242"/>
      <c r="E146" s="242"/>
      <c r="F146" s="206"/>
      <c r="G146" s="242"/>
      <c r="H146" s="260"/>
      <c r="I146" s="266"/>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06"/>
    </row>
    <row r="179" spans="4:10">
      <c r="D179" s="242"/>
      <c r="E179" s="242"/>
      <c r="F179" s="206"/>
      <c r="G179" s="242"/>
      <c r="H179" s="260"/>
      <c r="I179" s="266"/>
      <c r="J179" s="206"/>
    </row>
    <row r="180" spans="4:10">
      <c r="D180" s="242"/>
      <c r="E180" s="242"/>
      <c r="F180" s="206"/>
      <c r="G180" s="242"/>
      <c r="H180" s="260"/>
      <c r="I180" s="266"/>
      <c r="J180" s="206"/>
    </row>
    <row r="181" spans="4:10">
      <c r="D181" s="242"/>
      <c r="E181" s="242"/>
      <c r="F181" s="206"/>
      <c r="G181" s="242"/>
      <c r="H181" s="260"/>
      <c r="I181" s="266"/>
      <c r="J181" s="206"/>
    </row>
    <row r="182" spans="4:10">
      <c r="D182" s="242"/>
      <c r="E182" s="242"/>
      <c r="F182" s="206"/>
      <c r="G182" s="242"/>
      <c r="H182" s="260"/>
      <c r="I182" s="266"/>
      <c r="J182" s="206"/>
    </row>
    <row r="183" spans="4:10">
      <c r="D183" s="242"/>
      <c r="E183" s="242"/>
      <c r="F183" s="206"/>
      <c r="G183" s="242"/>
      <c r="H183" s="260"/>
      <c r="I183" s="266"/>
      <c r="J183" s="206"/>
    </row>
    <row r="184" spans="4:10">
      <c r="D184" s="242"/>
      <c r="E184" s="242"/>
      <c r="F184" s="206"/>
      <c r="G184" s="242"/>
      <c r="H184" s="260"/>
      <c r="I184" s="266"/>
      <c r="J184" s="206"/>
    </row>
    <row r="185" spans="4:10">
      <c r="D185" s="242"/>
      <c r="E185" s="242"/>
      <c r="F185" s="206"/>
      <c r="G185" s="242"/>
      <c r="H185" s="260"/>
      <c r="I185" s="266"/>
      <c r="J185" s="206"/>
    </row>
    <row r="186" spans="4:10">
      <c r="D186" s="242"/>
      <c r="E186" s="242"/>
      <c r="F186" s="206"/>
      <c r="G186" s="242"/>
      <c r="H186" s="260"/>
      <c r="I186" s="266"/>
      <c r="J186" s="206"/>
    </row>
    <row r="187" spans="4:10">
      <c r="D187" s="242"/>
      <c r="E187" s="242"/>
      <c r="F187" s="206"/>
      <c r="G187" s="242"/>
      <c r="H187" s="260"/>
      <c r="I187" s="266"/>
      <c r="J187" s="206"/>
    </row>
    <row r="188" spans="4:10">
      <c r="D188" s="242"/>
      <c r="E188" s="242"/>
      <c r="F188" s="206"/>
      <c r="G188" s="242"/>
      <c r="H188" s="260"/>
      <c r="I188" s="266"/>
      <c r="J188" s="206"/>
    </row>
    <row r="189" spans="4:10">
      <c r="D189" s="242"/>
      <c r="E189" s="242"/>
      <c r="F189" s="206"/>
      <c r="G189" s="242"/>
      <c r="H189" s="260"/>
      <c r="I189" s="266"/>
      <c r="J189" s="206"/>
    </row>
    <row r="190" spans="4:10">
      <c r="D190" s="242"/>
      <c r="E190" s="242"/>
      <c r="F190" s="206"/>
      <c r="G190" s="242"/>
      <c r="H190" s="260"/>
      <c r="I190" s="266"/>
      <c r="J190" s="206"/>
    </row>
    <row r="191" spans="4:10">
      <c r="D191" s="242"/>
      <c r="E191" s="242"/>
      <c r="F191" s="206"/>
      <c r="G191" s="242"/>
      <c r="H191" s="260"/>
      <c r="I191" s="266"/>
      <c r="J191" s="206"/>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06"/>
      <c r="I248" s="266"/>
      <c r="J248" s="206"/>
    </row>
    <row r="249" spans="4:10">
      <c r="D249" s="242"/>
      <c r="E249" s="242"/>
      <c r="F249" s="206"/>
      <c r="G249" s="242"/>
      <c r="H249" s="206"/>
      <c r="I249" s="266"/>
      <c r="J249" s="206"/>
    </row>
    <row r="250" spans="4:10">
      <c r="D250" s="242"/>
      <c r="E250" s="242"/>
      <c r="F250" s="206"/>
      <c r="G250" s="242"/>
      <c r="H250" s="206"/>
      <c r="I250" s="266"/>
      <c r="J250" s="206"/>
    </row>
    <row r="251" spans="4:10">
      <c r="D251" s="242"/>
      <c r="E251" s="242"/>
      <c r="F251" s="206"/>
      <c r="G251" s="242"/>
      <c r="H251" s="206"/>
      <c r="I251" s="266"/>
      <c r="J251" s="206"/>
    </row>
    <row r="252" spans="4:10">
      <c r="D252" s="242"/>
      <c r="E252" s="242"/>
      <c r="F252" s="206"/>
      <c r="G252" s="242"/>
      <c r="H252" s="206"/>
      <c r="I252" s="266"/>
      <c r="J252" s="206"/>
    </row>
    <row r="253" spans="4:10">
      <c r="D253" s="242"/>
      <c r="E253" s="242"/>
      <c r="F253" s="206"/>
      <c r="G253" s="242"/>
      <c r="H253" s="206"/>
      <c r="I253" s="266"/>
      <c r="J253" s="206"/>
    </row>
    <row r="254" spans="4:10">
      <c r="D254" s="242"/>
      <c r="E254" s="242"/>
      <c r="F254" s="206"/>
      <c r="G254" s="242"/>
      <c r="H254" s="206"/>
      <c r="I254" s="266"/>
      <c r="J254" s="206"/>
    </row>
    <row r="255" spans="4:10">
      <c r="D255" s="242"/>
      <c r="E255" s="242"/>
      <c r="F255" s="206"/>
      <c r="G255" s="242"/>
      <c r="H255" s="206"/>
      <c r="I255" s="266"/>
      <c r="J255" s="206"/>
    </row>
    <row r="256" spans="4:10">
      <c r="D256" s="242"/>
      <c r="E256" s="242"/>
      <c r="F256" s="206"/>
      <c r="G256" s="242"/>
      <c r="H256" s="206"/>
      <c r="I256" s="266"/>
      <c r="J256" s="206"/>
    </row>
    <row r="257" spans="4:10">
      <c r="D257" s="242"/>
      <c r="E257" s="242"/>
      <c r="F257" s="206"/>
      <c r="G257" s="242"/>
      <c r="H257" s="206"/>
      <c r="I257" s="266"/>
      <c r="J257" s="206"/>
    </row>
    <row r="258" spans="4:10">
      <c r="D258" s="242"/>
      <c r="E258" s="242"/>
      <c r="F258" s="206"/>
      <c r="G258" s="242"/>
      <c r="H258" s="206"/>
      <c r="I258" s="266"/>
      <c r="J258" s="206"/>
    </row>
    <row r="259" spans="4:10">
      <c r="D259" s="242"/>
      <c r="E259" s="242"/>
      <c r="F259" s="206"/>
      <c r="G259" s="242"/>
      <c r="H259" s="206"/>
      <c r="I259" s="266"/>
      <c r="J259" s="206"/>
    </row>
    <row r="260" spans="4:10">
      <c r="D260" s="242"/>
      <c r="E260" s="242"/>
      <c r="F260" s="206"/>
      <c r="G260" s="242"/>
      <c r="H260" s="206"/>
      <c r="I260" s="266"/>
      <c r="J260" s="206"/>
    </row>
    <row r="261" spans="4:10">
      <c r="D261" s="242"/>
      <c r="E261" s="242"/>
      <c r="F261" s="206"/>
      <c r="G261" s="242"/>
      <c r="H261" s="206"/>
      <c r="I261" s="266"/>
      <c r="J261" s="206"/>
    </row>
    <row r="262" spans="4:10">
      <c r="D262" s="242"/>
      <c r="E262" s="242"/>
      <c r="F262" s="206"/>
      <c r="G262" s="242"/>
      <c r="H262" s="206"/>
      <c r="I262" s="266"/>
      <c r="J262" s="206"/>
    </row>
    <row r="263" spans="4:10">
      <c r="D263" s="242"/>
      <c r="E263" s="242"/>
      <c r="F263" s="206"/>
      <c r="G263" s="242"/>
      <c r="H263" s="206"/>
      <c r="I263" s="266"/>
      <c r="J263" s="206"/>
    </row>
    <row r="264" spans="4:10">
      <c r="D264" s="242"/>
      <c r="E264" s="242"/>
      <c r="F264" s="206"/>
      <c r="G264" s="242"/>
      <c r="H264" s="206"/>
      <c r="I264" s="266"/>
      <c r="J264" s="206"/>
    </row>
    <row r="265" spans="4:10">
      <c r="D265" s="242"/>
      <c r="E265" s="242"/>
      <c r="F265" s="206"/>
      <c r="G265" s="242"/>
      <c r="H265" s="206"/>
      <c r="I265" s="266"/>
      <c r="J265" s="206"/>
    </row>
    <row r="266" spans="4:10">
      <c r="D266" s="242"/>
      <c r="E266" s="242"/>
      <c r="F266" s="206"/>
      <c r="G266" s="242"/>
      <c r="H266" s="206"/>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I272" s="267"/>
    </row>
    <row r="273" spans="9:9">
      <c r="I273" s="267"/>
    </row>
    <row r="274" spans="9:9">
      <c r="I274" s="267"/>
    </row>
    <row r="275" spans="9:9">
      <c r="I275" s="267"/>
    </row>
    <row r="276" spans="9:9">
      <c r="I276" s="267"/>
    </row>
    <row r="277" spans="9:9">
      <c r="I277" s="267"/>
    </row>
    <row r="278" spans="9:9">
      <c r="I278" s="267"/>
    </row>
    <row r="279" spans="9:9">
      <c r="I279" s="267"/>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305"/>
  <sheetViews>
    <sheetView view="pageBreakPreview" topLeftCell="A61" zoomScale="130" zoomScaleSheetLayoutView="130" workbookViewId="0">
      <selection activeCell="H77" sqref="H77"/>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41</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Q19</f>
        <v>908.34</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f>R13+R14+R15</f>
        <v>8</v>
      </c>
      <c r="G11" s="167"/>
      <c r="H11" s="176"/>
      <c r="I11" s="163"/>
      <c r="J11" s="176">
        <f>F11*H11</f>
        <v>0</v>
      </c>
      <c r="K11" s="136"/>
      <c r="L11" s="136" t="s">
        <v>443</v>
      </c>
      <c r="N11">
        <v>0</v>
      </c>
      <c r="O11">
        <v>111.83</v>
      </c>
      <c r="P11">
        <v>0</v>
      </c>
      <c r="Q11">
        <v>2719.29</v>
      </c>
      <c r="R11">
        <v>2451.06</v>
      </c>
      <c r="S11">
        <v>265.43</v>
      </c>
      <c r="T11">
        <v>2.8</v>
      </c>
      <c r="U11">
        <v>0</v>
      </c>
      <c r="V11">
        <v>0</v>
      </c>
      <c r="W11">
        <v>2715.02</v>
      </c>
      <c r="X11">
        <v>1935.77</v>
      </c>
      <c r="Y11">
        <v>423.2</v>
      </c>
      <c r="Z11">
        <v>288.45</v>
      </c>
      <c r="AA11">
        <v>67.59</v>
      </c>
      <c r="AB11">
        <v>1935.59</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5</v>
      </c>
      <c r="G13" s="167"/>
      <c r="H13" s="176"/>
      <c r="I13" s="182"/>
      <c r="J13" s="176">
        <f>F13*H13</f>
        <v>0</v>
      </c>
      <c r="K13" s="136"/>
      <c r="L13" s="136" t="s">
        <v>179</v>
      </c>
      <c r="M13" t="s">
        <v>389</v>
      </c>
      <c r="N13">
        <v>4</v>
      </c>
      <c r="O13" t="s">
        <v>416</v>
      </c>
      <c r="P13" t="s">
        <v>391</v>
      </c>
      <c r="Q13">
        <v>1000</v>
      </c>
      <c r="R13">
        <v>4</v>
      </c>
    </row>
    <row r="14" spans="1:28" ht="14.25">
      <c r="A14" s="172"/>
      <c r="B14" s="173"/>
      <c r="C14" s="173"/>
      <c r="D14" s="165"/>
      <c r="E14" s="165"/>
      <c r="F14" s="166"/>
      <c r="G14" s="167"/>
      <c r="H14" s="168"/>
      <c r="I14" s="182"/>
      <c r="J14" s="168"/>
      <c r="K14" s="136"/>
      <c r="L14" s="136" t="s">
        <v>177</v>
      </c>
      <c r="M14" t="s">
        <v>389</v>
      </c>
      <c r="N14">
        <v>2</v>
      </c>
      <c r="O14" t="s">
        <v>390</v>
      </c>
      <c r="P14" t="s">
        <v>391</v>
      </c>
      <c r="Q14">
        <v>1000</v>
      </c>
      <c r="R14">
        <v>2</v>
      </c>
    </row>
    <row r="15" spans="1:28" ht="14.25">
      <c r="A15" s="172" t="s">
        <v>67</v>
      </c>
      <c r="B15" s="173" t="s">
        <v>74</v>
      </c>
      <c r="C15" s="173"/>
      <c r="D15" s="174" t="s">
        <v>190</v>
      </c>
      <c r="E15" s="165"/>
      <c r="F15" s="175">
        <v>2</v>
      </c>
      <c r="G15" s="167"/>
      <c r="H15" s="176"/>
      <c r="I15" s="182"/>
      <c r="J15" s="176">
        <f>F15*H15</f>
        <v>0</v>
      </c>
      <c r="K15" s="136"/>
      <c r="L15" s="136" t="s">
        <v>175</v>
      </c>
      <c r="M15" t="s">
        <v>389</v>
      </c>
      <c r="N15">
        <v>2</v>
      </c>
      <c r="O15" t="s">
        <v>392</v>
      </c>
      <c r="P15" t="s">
        <v>391</v>
      </c>
      <c r="Q15">
        <v>1000</v>
      </c>
      <c r="R15">
        <v>2</v>
      </c>
    </row>
    <row r="16" spans="1:28" ht="14.25">
      <c r="A16" s="172"/>
      <c r="B16" s="173"/>
      <c r="C16" s="173"/>
      <c r="D16" s="165"/>
      <c r="E16" s="165"/>
      <c r="F16" s="166"/>
      <c r="G16" s="167"/>
      <c r="H16" s="168"/>
      <c r="I16" s="182"/>
      <c r="J16" s="168"/>
      <c r="K16" s="136"/>
      <c r="L16" s="136"/>
    </row>
    <row r="17" spans="1:17" ht="15" thickBot="1">
      <c r="A17" s="183"/>
      <c r="B17" s="184" t="s">
        <v>75</v>
      </c>
      <c r="C17" s="184"/>
      <c r="D17" s="185"/>
      <c r="E17" s="185"/>
      <c r="F17" s="186"/>
      <c r="G17" s="185"/>
      <c r="H17" s="187"/>
      <c r="I17" s="188"/>
      <c r="J17" s="189">
        <f>SUM(J9:J15)</f>
        <v>0</v>
      </c>
      <c r="K17" s="136"/>
      <c r="L17" s="136"/>
    </row>
    <row r="18" spans="1:17" ht="15" thickTop="1">
      <c r="A18" s="190"/>
      <c r="B18" s="191"/>
      <c r="C18" s="191"/>
      <c r="D18" s="192"/>
      <c r="E18" s="192"/>
      <c r="F18" s="165"/>
      <c r="G18" s="192"/>
      <c r="H18" s="193"/>
      <c r="I18" s="182"/>
      <c r="J18" s="194"/>
      <c r="K18" s="136"/>
      <c r="L18" s="136" t="s">
        <v>221</v>
      </c>
      <c r="N18" s="450" t="s">
        <v>239</v>
      </c>
      <c r="P18" t="s">
        <v>238</v>
      </c>
    </row>
    <row r="19" spans="1:17" ht="14.25">
      <c r="A19" s="190"/>
      <c r="B19" s="191"/>
      <c r="C19" s="191"/>
      <c r="D19" s="192"/>
      <c r="E19" s="192"/>
      <c r="F19" s="165"/>
      <c r="G19" s="192"/>
      <c r="H19" s="193"/>
      <c r="I19" s="182"/>
      <c r="J19" s="194"/>
      <c r="K19" s="136"/>
      <c r="L19" s="136" t="s">
        <v>401</v>
      </c>
      <c r="N19">
        <v>908.34</v>
      </c>
      <c r="P19">
        <v>79.2</v>
      </c>
      <c r="Q19">
        <v>908.34</v>
      </c>
    </row>
    <row r="20" spans="1:17" ht="15">
      <c r="A20" s="195" t="s">
        <v>61</v>
      </c>
      <c r="B20" s="196" t="s">
        <v>76</v>
      </c>
      <c r="C20" s="196"/>
      <c r="D20" s="160"/>
      <c r="E20" s="160"/>
      <c r="F20" s="170"/>
      <c r="G20" s="171"/>
      <c r="H20" s="197"/>
      <c r="I20" s="180"/>
      <c r="J20" s="198"/>
      <c r="K20" s="136"/>
      <c r="N20">
        <v>253.89</v>
      </c>
    </row>
    <row r="21" spans="1:17" ht="30">
      <c r="A21" s="195"/>
      <c r="B21" s="196" t="s">
        <v>395</v>
      </c>
      <c r="C21" s="196"/>
      <c r="D21" s="160"/>
      <c r="E21" s="160"/>
      <c r="F21" s="170"/>
      <c r="G21" s="171"/>
      <c r="H21" s="197"/>
      <c r="I21" s="180"/>
      <c r="J21" s="198"/>
      <c r="K21" s="136"/>
      <c r="L21" s="136"/>
    </row>
    <row r="22" spans="1:17" ht="38.25">
      <c r="A22" s="172" t="s">
        <v>58</v>
      </c>
      <c r="B22" s="173" t="s">
        <v>77</v>
      </c>
      <c r="C22" s="173"/>
      <c r="D22" s="160"/>
      <c r="E22" s="160"/>
      <c r="F22" s="170"/>
      <c r="G22" s="171"/>
      <c r="H22" s="197"/>
      <c r="I22" s="180"/>
      <c r="J22" s="198"/>
      <c r="K22" s="136"/>
      <c r="L22" s="136"/>
    </row>
    <row r="23" spans="1:17" ht="15">
      <c r="A23" s="195"/>
      <c r="B23" s="196"/>
      <c r="C23" s="196"/>
      <c r="D23" s="174" t="s">
        <v>108</v>
      </c>
      <c r="E23" s="160"/>
      <c r="F23" s="175">
        <f>O11</f>
        <v>111.83</v>
      </c>
      <c r="G23" s="171"/>
      <c r="H23" s="201"/>
      <c r="I23" s="180"/>
      <c r="J23" s="202">
        <f>F23*H23</f>
        <v>0</v>
      </c>
      <c r="K23" s="136"/>
      <c r="L23" s="136"/>
    </row>
    <row r="24" spans="1:17" ht="15">
      <c r="A24" s="195"/>
      <c r="B24" s="196"/>
      <c r="C24" s="196"/>
      <c r="D24" s="160"/>
      <c r="E24" s="160"/>
      <c r="F24" s="170"/>
      <c r="G24" s="171"/>
      <c r="H24" s="197"/>
      <c r="I24" s="180"/>
      <c r="J24" s="198"/>
      <c r="K24" s="136"/>
      <c r="L24" s="136"/>
    </row>
    <row r="25" spans="1:17" ht="51">
      <c r="A25" s="203" t="s">
        <v>61</v>
      </c>
      <c r="B25" s="204" t="s">
        <v>22</v>
      </c>
      <c r="C25" s="205"/>
      <c r="D25" s="206"/>
      <c r="E25" s="206"/>
      <c r="F25" s="207"/>
      <c r="G25" s="208"/>
      <c r="H25" s="209"/>
      <c r="I25" s="180"/>
      <c r="J25" s="194"/>
      <c r="K25" s="136"/>
      <c r="L25" s="136"/>
    </row>
    <row r="26" spans="1:17" ht="15.75">
      <c r="A26" s="210"/>
      <c r="B26" s="205" t="s">
        <v>78</v>
      </c>
      <c r="C26" s="205"/>
      <c r="D26" s="211" t="s">
        <v>108</v>
      </c>
      <c r="E26" s="206"/>
      <c r="F26" s="212">
        <f>Q11*0.95</f>
        <v>2583.3254999999999</v>
      </c>
      <c r="G26" s="208"/>
      <c r="H26" s="213"/>
      <c r="I26" s="180"/>
      <c r="J26" s="202">
        <f>F26*H26</f>
        <v>0</v>
      </c>
      <c r="K26" s="136"/>
      <c r="L26" s="136"/>
    </row>
    <row r="27" spans="1:17" ht="14.25">
      <c r="A27" s="203"/>
      <c r="B27" s="205" t="s">
        <v>79</v>
      </c>
      <c r="C27" s="205"/>
      <c r="D27" s="211" t="s">
        <v>108</v>
      </c>
      <c r="E27" s="206"/>
      <c r="F27" s="212">
        <f>Q11*0.05</f>
        <v>135.96450000000002</v>
      </c>
      <c r="G27" s="208"/>
      <c r="H27" s="213"/>
      <c r="I27" s="180"/>
      <c r="J27" s="202">
        <f>F27*H27</f>
        <v>0</v>
      </c>
      <c r="K27" s="136"/>
      <c r="L27" s="136"/>
    </row>
    <row r="28" spans="1:17" ht="14.25">
      <c r="A28" s="203"/>
      <c r="B28" s="173"/>
      <c r="C28" s="205"/>
      <c r="D28" s="214"/>
      <c r="E28" s="206"/>
      <c r="F28" s="207"/>
      <c r="G28" s="208"/>
      <c r="H28" s="215"/>
      <c r="I28" s="180"/>
      <c r="J28" s="194"/>
      <c r="K28" s="199"/>
      <c r="L28" s="199"/>
      <c r="N28" s="200"/>
      <c r="O28" s="200"/>
    </row>
    <row r="29" spans="1:17" ht="25.5">
      <c r="A29" s="203" t="s">
        <v>63</v>
      </c>
      <c r="B29" s="205" t="s">
        <v>21</v>
      </c>
      <c r="C29" s="205"/>
      <c r="D29" s="206"/>
      <c r="E29" s="206"/>
      <c r="F29" s="216"/>
      <c r="G29" s="217"/>
      <c r="H29" s="209"/>
      <c r="I29" s="180"/>
      <c r="J29" s="218"/>
      <c r="K29" s="199"/>
      <c r="L29" s="199"/>
      <c r="N29" s="200"/>
      <c r="O29" s="200"/>
    </row>
    <row r="30" spans="1:17" ht="14.25">
      <c r="A30" s="203"/>
      <c r="B30" s="205"/>
      <c r="C30" s="205"/>
      <c r="D30" s="211" t="s">
        <v>105</v>
      </c>
      <c r="E30" s="206"/>
      <c r="F30" s="220">
        <f>F9*0.8</f>
        <v>726.67200000000003</v>
      </c>
      <c r="G30" s="221"/>
      <c r="H30" s="213"/>
      <c r="I30" s="180"/>
      <c r="J30" s="202">
        <f>F30*H30</f>
        <v>0</v>
      </c>
      <c r="K30" s="199"/>
      <c r="L30" s="199"/>
      <c r="N30" s="200"/>
      <c r="O30" s="200"/>
    </row>
    <row r="31" spans="1:17" ht="14.25">
      <c r="A31" s="172"/>
      <c r="B31" s="173"/>
      <c r="C31" s="173"/>
      <c r="D31" s="165"/>
      <c r="E31" s="160"/>
      <c r="F31" s="222"/>
      <c r="G31" s="223"/>
      <c r="H31" s="215"/>
      <c r="I31" s="180"/>
      <c r="J31" s="194"/>
      <c r="K31" s="199"/>
      <c r="L31" s="199"/>
      <c r="N31" s="200"/>
      <c r="O31" s="200"/>
    </row>
    <row r="32" spans="1:17" ht="51">
      <c r="A32" s="172" t="s">
        <v>67</v>
      </c>
      <c r="B32" s="224" t="s">
        <v>80</v>
      </c>
      <c r="C32" s="225"/>
      <c r="D32" s="174" t="s">
        <v>108</v>
      </c>
      <c r="E32" s="160"/>
      <c r="F32" s="175">
        <f>AA11</f>
        <v>67.59</v>
      </c>
      <c r="G32" s="167"/>
      <c r="H32" s="213"/>
      <c r="I32" s="169"/>
      <c r="J32" s="202">
        <f>F32*H32</f>
        <v>0</v>
      </c>
      <c r="K32" s="200"/>
      <c r="L32" s="199"/>
      <c r="M32" s="200"/>
    </row>
    <row r="33" spans="1:15" ht="14.25">
      <c r="A33" s="172"/>
      <c r="B33" s="224"/>
      <c r="C33" s="225"/>
      <c r="D33" s="160"/>
      <c r="E33" s="160"/>
      <c r="F33" s="166"/>
      <c r="G33" s="167"/>
      <c r="H33" s="215"/>
      <c r="I33" s="169"/>
      <c r="J33" s="194"/>
      <c r="K33" s="200"/>
      <c r="L33" s="199"/>
      <c r="M33" s="200"/>
    </row>
    <row r="34" spans="1:15" ht="38.25">
      <c r="A34" s="172" t="s">
        <v>68</v>
      </c>
      <c r="B34" s="173" t="s">
        <v>24</v>
      </c>
      <c r="C34" s="225"/>
      <c r="D34" s="174" t="s">
        <v>108</v>
      </c>
      <c r="E34" s="160"/>
      <c r="F34" s="175">
        <f>Z11</f>
        <v>288.45</v>
      </c>
      <c r="G34" s="167"/>
      <c r="H34" s="213"/>
      <c r="I34" s="169"/>
      <c r="J34" s="202">
        <f>F34*H34</f>
        <v>0</v>
      </c>
      <c r="K34" s="200"/>
      <c r="L34" s="199"/>
      <c r="M34" s="200"/>
    </row>
    <row r="35" spans="1:15" ht="14.25">
      <c r="A35" s="172"/>
      <c r="B35" s="173"/>
      <c r="C35" s="225"/>
      <c r="D35" s="165"/>
      <c r="E35" s="160"/>
      <c r="F35" s="166"/>
      <c r="G35" s="167"/>
      <c r="H35" s="215"/>
      <c r="I35" s="169"/>
      <c r="J35" s="194"/>
      <c r="K35" s="200"/>
      <c r="L35" s="199"/>
      <c r="M35" s="200"/>
    </row>
    <row r="36" spans="1:15" ht="76.5">
      <c r="A36" s="172" t="s">
        <v>69</v>
      </c>
      <c r="B36" s="224" t="s">
        <v>25</v>
      </c>
      <c r="C36" s="226"/>
      <c r="D36" s="179"/>
      <c r="E36" s="179"/>
      <c r="F36" s="166"/>
      <c r="G36" s="167"/>
      <c r="H36" s="198"/>
      <c r="I36" s="163"/>
      <c r="J36" s="198"/>
      <c r="K36" s="171"/>
      <c r="L36" s="219"/>
      <c r="M36" s="200"/>
    </row>
    <row r="37" spans="1:15" ht="15">
      <c r="A37" s="172"/>
      <c r="B37" s="173" t="s">
        <v>78</v>
      </c>
      <c r="C37" s="173"/>
      <c r="D37" s="174" t="s">
        <v>108</v>
      </c>
      <c r="E37" s="160"/>
      <c r="F37" s="175">
        <f>X11*0.95</f>
        <v>1838.9814999999999</v>
      </c>
      <c r="G37" s="167"/>
      <c r="H37" s="213"/>
      <c r="I37" s="163"/>
      <c r="J37" s="202">
        <f>F37*H37</f>
        <v>0</v>
      </c>
      <c r="K37" s="171"/>
      <c r="L37" s="219"/>
      <c r="M37" s="200"/>
    </row>
    <row r="38" spans="1:15" ht="14.25">
      <c r="A38" s="172"/>
      <c r="B38" s="173" t="s">
        <v>79</v>
      </c>
      <c r="C38" s="173"/>
      <c r="D38" s="174" t="s">
        <v>108</v>
      </c>
      <c r="E38" s="160"/>
      <c r="F38" s="181">
        <f>X11*0.05</f>
        <v>96.788499999999999</v>
      </c>
      <c r="G38" s="167"/>
      <c r="H38" s="213"/>
      <c r="I38" s="163"/>
      <c r="J38" s="202">
        <f>F38*H38</f>
        <v>0</v>
      </c>
      <c r="K38" s="199"/>
      <c r="L38" s="199"/>
      <c r="M38" s="200"/>
      <c r="N38" s="200"/>
      <c r="O38" s="200"/>
    </row>
    <row r="39" spans="1:15" ht="14.25">
      <c r="A39" s="172"/>
      <c r="B39" s="173"/>
      <c r="C39" s="173"/>
      <c r="D39" s="165"/>
      <c r="E39" s="160"/>
      <c r="F39" s="166"/>
      <c r="G39" s="167"/>
      <c r="H39" s="215"/>
      <c r="I39" s="163"/>
      <c r="J39" s="194"/>
      <c r="K39" s="199"/>
      <c r="L39" s="199"/>
      <c r="M39" s="200"/>
      <c r="N39" s="200"/>
      <c r="O39" s="200"/>
    </row>
    <row r="40" spans="1:15" ht="63.75">
      <c r="A40" s="227" t="s">
        <v>72</v>
      </c>
      <c r="B40" s="228" t="s">
        <v>26</v>
      </c>
      <c r="C40" s="228"/>
      <c r="D40" s="229" t="s">
        <v>105</v>
      </c>
      <c r="E40" s="230"/>
      <c r="F40" s="231">
        <f>F9*2.5</f>
        <v>2270.85</v>
      </c>
      <c r="G40" s="192"/>
      <c r="H40" s="202"/>
      <c r="I40" s="169"/>
      <c r="J40" s="202">
        <f>F40*H40</f>
        <v>0</v>
      </c>
      <c r="K40" s="199"/>
      <c r="L40" s="199"/>
      <c r="M40" s="200"/>
      <c r="N40" s="200"/>
      <c r="O40" s="200"/>
    </row>
    <row r="41" spans="1:15" ht="14.25">
      <c r="A41" s="172"/>
      <c r="B41" s="224"/>
      <c r="C41" s="226"/>
      <c r="D41" s="160"/>
      <c r="E41" s="160"/>
      <c r="F41" s="166"/>
      <c r="G41" s="167"/>
      <c r="H41" s="215"/>
      <c r="I41" s="163"/>
      <c r="J41" s="194"/>
      <c r="K41" s="199"/>
      <c r="L41" s="199"/>
      <c r="M41" s="200"/>
      <c r="N41" s="200"/>
      <c r="O41" s="200"/>
    </row>
    <row r="42" spans="1:15" ht="25.5">
      <c r="A42" s="172" t="s">
        <v>73</v>
      </c>
      <c r="B42" s="228" t="s">
        <v>27</v>
      </c>
      <c r="C42" s="226"/>
      <c r="D42" s="174" t="s">
        <v>108</v>
      </c>
      <c r="E42" s="160"/>
      <c r="F42" s="175">
        <f>F26+F27-F37-F38</f>
        <v>783.5200000000001</v>
      </c>
      <c r="G42" s="167"/>
      <c r="H42" s="213"/>
      <c r="I42" s="163"/>
      <c r="J42" s="202">
        <f>F42*H42</f>
        <v>0</v>
      </c>
      <c r="K42" s="199"/>
      <c r="L42" s="199"/>
      <c r="M42" s="200"/>
      <c r="N42" s="200"/>
      <c r="O42" s="200"/>
    </row>
    <row r="43" spans="1:15">
      <c r="A43" s="172"/>
      <c r="B43" s="228"/>
      <c r="C43" s="226"/>
      <c r="D43" s="165"/>
      <c r="E43" s="160"/>
      <c r="F43" s="166"/>
      <c r="G43" s="167"/>
      <c r="H43" s="215"/>
      <c r="I43" s="163"/>
      <c r="J43" s="194"/>
      <c r="K43" s="217"/>
      <c r="L43" s="200"/>
      <c r="M43" s="200"/>
      <c r="N43" s="200"/>
      <c r="O43" s="200"/>
    </row>
    <row r="44" spans="1:15" ht="13.5" thickBot="1">
      <c r="A44" s="183"/>
      <c r="B44" s="232" t="s">
        <v>28</v>
      </c>
      <c r="C44" s="232"/>
      <c r="D44" s="233"/>
      <c r="E44" s="233"/>
      <c r="F44" s="234"/>
      <c r="G44" s="235"/>
      <c r="H44" s="189"/>
      <c r="I44" s="236"/>
      <c r="J44" s="189">
        <f>SUM(J23:J43)</f>
        <v>0</v>
      </c>
      <c r="K44" s="217"/>
      <c r="L44" s="200"/>
      <c r="M44" s="200"/>
      <c r="N44" s="200"/>
      <c r="O44" s="200"/>
    </row>
    <row r="45" spans="1:15" ht="13.5" thickTop="1">
      <c r="A45" s="190"/>
      <c r="B45" s="237"/>
      <c r="C45" s="237"/>
      <c r="D45" s="238"/>
      <c r="E45" s="238"/>
      <c r="F45" s="166"/>
      <c r="G45" s="167"/>
      <c r="H45" s="194"/>
      <c r="I45" s="169"/>
      <c r="J45" s="194"/>
      <c r="K45" s="217"/>
      <c r="L45" s="200"/>
      <c r="M45" s="200"/>
      <c r="N45" s="200"/>
      <c r="O45" s="200"/>
    </row>
    <row r="46" spans="1:15">
      <c r="A46" s="190"/>
      <c r="B46" s="237"/>
      <c r="C46" s="237"/>
      <c r="D46" s="238"/>
      <c r="E46" s="238"/>
      <c r="F46" s="166"/>
      <c r="G46" s="167"/>
      <c r="H46" s="194"/>
      <c r="I46" s="169"/>
      <c r="J46" s="194"/>
      <c r="K46" s="217"/>
      <c r="L46" s="200"/>
      <c r="M46" s="200"/>
      <c r="N46" s="200"/>
      <c r="O46" s="200"/>
    </row>
    <row r="47" spans="1:15" ht="15">
      <c r="A47" s="195" t="s">
        <v>63</v>
      </c>
      <c r="B47" s="239" t="s">
        <v>29</v>
      </c>
      <c r="C47" s="239"/>
      <c r="D47" s="160"/>
      <c r="E47" s="160"/>
      <c r="F47" s="170"/>
      <c r="G47" s="171"/>
      <c r="H47" s="198"/>
      <c r="I47" s="163"/>
      <c r="J47" s="198"/>
      <c r="K47" s="217"/>
      <c r="L47" s="200"/>
      <c r="M47" s="200"/>
      <c r="N47" s="200"/>
      <c r="O47" s="200"/>
    </row>
    <row r="48" spans="1:15" ht="15">
      <c r="A48" s="195"/>
      <c r="B48" s="239"/>
      <c r="C48" s="239"/>
      <c r="D48" s="160"/>
      <c r="E48" s="160"/>
      <c r="F48" s="170"/>
      <c r="G48" s="171"/>
      <c r="H48" s="198"/>
      <c r="I48" s="163"/>
      <c r="J48" s="198"/>
      <c r="K48" s="217"/>
      <c r="L48" s="200"/>
      <c r="M48" s="200"/>
    </row>
    <row r="49" spans="1:15" ht="38.25">
      <c r="A49" s="172" t="s">
        <v>58</v>
      </c>
      <c r="B49" s="226" t="s">
        <v>403</v>
      </c>
      <c r="C49" s="226"/>
      <c r="D49" s="174" t="s">
        <v>60</v>
      </c>
      <c r="E49" s="160"/>
      <c r="F49" s="240">
        <f>F9</f>
        <v>908.34</v>
      </c>
      <c r="G49" s="223"/>
      <c r="H49" s="213"/>
      <c r="I49" s="163"/>
      <c r="J49" s="202">
        <f>F49*H49</f>
        <v>0</v>
      </c>
      <c r="K49" s="217"/>
      <c r="L49" s="200"/>
      <c r="M49" s="200"/>
      <c r="N49" s="200"/>
      <c r="O49" s="200"/>
    </row>
    <row r="50" spans="1:15">
      <c r="A50" s="172"/>
      <c r="B50" s="226"/>
      <c r="C50" s="226"/>
      <c r="D50" s="160"/>
      <c r="E50" s="160"/>
      <c r="F50" s="170"/>
      <c r="G50" s="171"/>
      <c r="H50" s="198"/>
      <c r="I50" s="163"/>
      <c r="J50" s="198"/>
      <c r="K50" s="217"/>
      <c r="L50" s="200"/>
      <c r="M50" s="200"/>
      <c r="N50" s="200"/>
      <c r="O50" s="200"/>
    </row>
    <row r="51" spans="1:15">
      <c r="A51" s="172"/>
      <c r="B51" s="226"/>
      <c r="C51" s="226"/>
      <c r="D51" s="160"/>
      <c r="E51" s="160"/>
      <c r="F51" s="170"/>
      <c r="G51" s="171"/>
      <c r="H51" s="198"/>
      <c r="I51" s="163"/>
      <c r="J51" s="198"/>
      <c r="K51" s="217"/>
      <c r="L51" s="200"/>
      <c r="M51" s="200"/>
      <c r="N51" s="200"/>
      <c r="O51" s="200"/>
    </row>
    <row r="52" spans="1:15" ht="51">
      <c r="A52" s="172" t="s">
        <v>61</v>
      </c>
      <c r="B52" s="241" t="s">
        <v>444</v>
      </c>
      <c r="C52" s="241"/>
      <c r="D52" s="165"/>
      <c r="E52" s="165"/>
      <c r="F52" s="166"/>
      <c r="G52" s="167"/>
      <c r="H52" s="198"/>
      <c r="I52" s="163"/>
      <c r="J52" s="198"/>
      <c r="K52" s="217"/>
      <c r="L52" s="200"/>
      <c r="M52" s="200"/>
      <c r="N52" s="200"/>
      <c r="O52" s="200"/>
    </row>
    <row r="53" spans="1:15">
      <c r="A53" s="172"/>
      <c r="B53" s="241"/>
      <c r="C53" s="241"/>
      <c r="D53" s="174" t="s">
        <v>190</v>
      </c>
      <c r="E53" s="165"/>
      <c r="F53" s="175">
        <v>1</v>
      </c>
      <c r="G53" s="167"/>
      <c r="H53" s="213"/>
      <c r="I53" s="163"/>
      <c r="J53" s="202">
        <f>F53*H53</f>
        <v>0</v>
      </c>
      <c r="K53" s="217"/>
      <c r="L53" s="200"/>
      <c r="M53" s="200"/>
      <c r="N53" s="200"/>
      <c r="O53" s="200"/>
    </row>
    <row r="54" spans="1:15">
      <c r="A54" s="172"/>
      <c r="B54" s="226"/>
      <c r="C54" s="226"/>
      <c r="D54" s="160"/>
      <c r="E54" s="160"/>
      <c r="F54" s="170"/>
      <c r="G54" s="171"/>
      <c r="H54" s="198"/>
      <c r="I54" s="163"/>
      <c r="J54" s="198"/>
      <c r="K54" s="217"/>
      <c r="L54" s="200"/>
      <c r="M54" s="200"/>
      <c r="N54" s="200"/>
      <c r="O54" s="200"/>
    </row>
    <row r="55" spans="1:15" ht="51">
      <c r="A55" s="172" t="s">
        <v>63</v>
      </c>
      <c r="B55" s="241" t="s">
        <v>447</v>
      </c>
      <c r="C55" s="241"/>
      <c r="D55" s="165"/>
      <c r="E55" s="165"/>
      <c r="F55" s="166"/>
      <c r="G55" s="167"/>
      <c r="H55" s="198"/>
      <c r="I55" s="163"/>
      <c r="J55" s="198"/>
      <c r="K55" s="217"/>
      <c r="L55" s="200"/>
      <c r="M55" s="200"/>
      <c r="N55" s="200"/>
      <c r="O55" s="200"/>
    </row>
    <row r="56" spans="1:15">
      <c r="A56" s="172"/>
      <c r="B56" s="241"/>
      <c r="C56" s="241"/>
      <c r="D56" s="174" t="s">
        <v>190</v>
      </c>
      <c r="E56" s="165"/>
      <c r="F56" s="175">
        <v>5</v>
      </c>
      <c r="G56" s="167"/>
      <c r="H56" s="213"/>
      <c r="I56" s="163"/>
      <c r="J56" s="202">
        <f>F56*H56</f>
        <v>0</v>
      </c>
      <c r="K56" s="217"/>
      <c r="L56" s="200"/>
      <c r="M56" s="200"/>
      <c r="N56" s="200"/>
      <c r="O56" s="200"/>
    </row>
    <row r="57" spans="1:15">
      <c r="A57" s="172"/>
      <c r="B57" s="241"/>
      <c r="C57" s="241"/>
      <c r="D57" s="160"/>
      <c r="E57" s="160"/>
      <c r="F57" s="170"/>
      <c r="G57" s="171"/>
      <c r="H57" s="198"/>
      <c r="I57" s="163"/>
      <c r="J57" s="198"/>
      <c r="K57" s="217"/>
      <c r="L57" s="200"/>
      <c r="M57" s="200"/>
      <c r="N57" s="200"/>
      <c r="O57" s="200"/>
    </row>
    <row r="58" spans="1:15" ht="51">
      <c r="A58" s="172" t="s">
        <v>67</v>
      </c>
      <c r="B58" s="241" t="s">
        <v>448</v>
      </c>
      <c r="C58" s="241"/>
      <c r="D58" s="165"/>
      <c r="E58" s="165"/>
      <c r="F58" s="166"/>
      <c r="G58" s="167"/>
      <c r="H58" s="198"/>
      <c r="I58" s="163"/>
      <c r="J58" s="198"/>
      <c r="K58" s="217"/>
      <c r="L58" s="200"/>
      <c r="M58" s="200"/>
      <c r="N58" s="200"/>
      <c r="O58" s="200"/>
    </row>
    <row r="59" spans="1:15">
      <c r="A59" s="172"/>
      <c r="B59" s="241"/>
      <c r="C59" s="241"/>
      <c r="D59" s="174" t="s">
        <v>190</v>
      </c>
      <c r="E59" s="165"/>
      <c r="F59" s="175">
        <v>1</v>
      </c>
      <c r="G59" s="167"/>
      <c r="H59" s="213"/>
      <c r="I59" s="163"/>
      <c r="J59" s="202">
        <f>F59*H59</f>
        <v>0</v>
      </c>
      <c r="K59" s="242"/>
    </row>
    <row r="60" spans="1:15">
      <c r="A60" s="172"/>
      <c r="B60" s="241"/>
      <c r="C60" s="241"/>
      <c r="D60" s="160"/>
      <c r="E60" s="160"/>
      <c r="F60" s="170"/>
      <c r="G60" s="171"/>
      <c r="H60" s="198"/>
      <c r="I60" s="163"/>
      <c r="J60" s="198"/>
      <c r="K60" s="242"/>
    </row>
    <row r="61" spans="1:15" ht="51">
      <c r="A61" s="172" t="s">
        <v>68</v>
      </c>
      <c r="B61" s="241" t="s">
        <v>445</v>
      </c>
      <c r="C61" s="241"/>
      <c r="D61" s="165"/>
      <c r="E61" s="165"/>
      <c r="F61" s="166"/>
      <c r="G61" s="167"/>
      <c r="H61" s="198"/>
      <c r="I61" s="163"/>
      <c r="J61" s="198"/>
      <c r="K61" s="217"/>
      <c r="L61" s="200"/>
      <c r="M61" s="200"/>
      <c r="N61" s="200"/>
      <c r="O61" s="200"/>
    </row>
    <row r="62" spans="1:15">
      <c r="A62" s="172"/>
      <c r="B62" s="241"/>
      <c r="C62" s="241"/>
      <c r="D62" s="174" t="s">
        <v>190</v>
      </c>
      <c r="E62" s="165"/>
      <c r="F62" s="175">
        <v>1</v>
      </c>
      <c r="G62" s="167"/>
      <c r="H62" s="213"/>
      <c r="I62" s="163"/>
      <c r="J62" s="202">
        <f>F62*H62</f>
        <v>0</v>
      </c>
      <c r="K62" s="242"/>
    </row>
    <row r="63" spans="1:15">
      <c r="A63" s="172"/>
      <c r="B63" s="241"/>
      <c r="C63" s="241"/>
      <c r="D63" s="160"/>
      <c r="E63" s="160"/>
      <c r="F63" s="170"/>
      <c r="G63" s="171"/>
      <c r="H63" s="198"/>
      <c r="I63" s="163"/>
      <c r="J63" s="198"/>
      <c r="K63" s="242"/>
    </row>
    <row r="64" spans="1:15" ht="63.75">
      <c r="A64" s="172" t="s">
        <v>69</v>
      </c>
      <c r="B64" s="241" t="s">
        <v>446</v>
      </c>
      <c r="C64" s="241"/>
      <c r="D64" s="165"/>
      <c r="E64" s="165"/>
      <c r="F64" s="166"/>
      <c r="G64" s="167"/>
      <c r="H64" s="198"/>
      <c r="I64" s="163"/>
      <c r="J64" s="198"/>
      <c r="K64" s="242"/>
    </row>
    <row r="65" spans="1:11">
      <c r="A65" s="172"/>
      <c r="B65" s="241"/>
      <c r="C65" s="241"/>
      <c r="D65" s="174" t="s">
        <v>190</v>
      </c>
      <c r="E65" s="165"/>
      <c r="F65" s="175">
        <v>1</v>
      </c>
      <c r="G65" s="167"/>
      <c r="H65" s="213"/>
      <c r="I65" s="163"/>
      <c r="J65" s="202">
        <f>F65*H65</f>
        <v>0</v>
      </c>
      <c r="K65" s="242"/>
    </row>
    <row r="66" spans="1:11">
      <c r="A66" s="172"/>
      <c r="B66" s="241"/>
      <c r="C66" s="241"/>
      <c r="D66" s="160"/>
      <c r="E66" s="160"/>
      <c r="F66" s="170"/>
      <c r="G66" s="171"/>
      <c r="H66" s="198"/>
      <c r="I66" s="163"/>
      <c r="J66" s="198"/>
      <c r="K66" s="242"/>
    </row>
    <row r="67" spans="1:11" ht="13.5" thickBot="1">
      <c r="A67" s="243"/>
      <c r="B67" s="244" t="s">
        <v>30</v>
      </c>
      <c r="C67" s="244"/>
      <c r="D67" s="186"/>
      <c r="E67" s="186"/>
      <c r="F67" s="234"/>
      <c r="G67" s="235"/>
      <c r="H67" s="189"/>
      <c r="I67" s="236"/>
      <c r="J67" s="189">
        <f>SUM(J49:J65)</f>
        <v>0</v>
      </c>
      <c r="K67" s="242"/>
    </row>
    <row r="68" spans="1:11" ht="13.5" thickTop="1">
      <c r="A68" s="245"/>
      <c r="B68" s="246"/>
      <c r="C68" s="246"/>
      <c r="D68" s="165"/>
      <c r="E68" s="165"/>
      <c r="F68" s="166"/>
      <c r="G68" s="167"/>
      <c r="H68" s="194"/>
      <c r="I68" s="169"/>
      <c r="J68" s="194"/>
      <c r="K68" s="242"/>
    </row>
    <row r="69" spans="1:11" ht="15.75">
      <c r="A69" s="247" t="s">
        <v>67</v>
      </c>
      <c r="B69" s="248" t="s">
        <v>31</v>
      </c>
      <c r="C69" s="248"/>
      <c r="D69" s="192"/>
      <c r="E69" s="192"/>
      <c r="F69" s="166"/>
      <c r="G69" s="167"/>
      <c r="H69" s="150"/>
      <c r="I69" s="163"/>
      <c r="J69" s="198"/>
      <c r="K69" s="242"/>
    </row>
    <row r="70" spans="1:11">
      <c r="A70" s="172"/>
      <c r="B70" s="249"/>
      <c r="C70" s="249"/>
      <c r="D70" s="250"/>
      <c r="E70" s="250"/>
      <c r="F70" s="170"/>
      <c r="G70" s="171"/>
      <c r="H70" s="150"/>
      <c r="I70" s="163"/>
      <c r="J70" s="198"/>
      <c r="K70" s="242"/>
    </row>
    <row r="71" spans="1:11" ht="25.5">
      <c r="A71" s="172" t="s">
        <v>58</v>
      </c>
      <c r="B71" s="173" t="s">
        <v>32</v>
      </c>
      <c r="C71" s="173"/>
      <c r="D71" s="251" t="s">
        <v>60</v>
      </c>
      <c r="E71" s="179"/>
      <c r="F71" s="175">
        <f>F9</f>
        <v>908.34</v>
      </c>
      <c r="G71" s="167"/>
      <c r="H71" s="213"/>
      <c r="I71" s="163"/>
      <c r="J71" s="202">
        <f>F71*H71</f>
        <v>0</v>
      </c>
      <c r="K71" s="242"/>
    </row>
    <row r="72" spans="1:11">
      <c r="A72" s="172"/>
      <c r="B72" s="173"/>
      <c r="C72" s="173"/>
      <c r="D72" s="179"/>
      <c r="E72" s="179"/>
      <c r="F72" s="170"/>
      <c r="G72" s="171"/>
      <c r="H72" s="150"/>
      <c r="I72" s="163"/>
      <c r="J72" s="198"/>
      <c r="K72" s="242"/>
    </row>
    <row r="73" spans="1:11">
      <c r="A73" s="172" t="s">
        <v>61</v>
      </c>
      <c r="B73" s="173" t="s">
        <v>33</v>
      </c>
      <c r="C73" s="173"/>
      <c r="D73" s="251" t="s">
        <v>60</v>
      </c>
      <c r="E73" s="179"/>
      <c r="F73" s="175">
        <f>F9</f>
        <v>908.34</v>
      </c>
      <c r="G73" s="167"/>
      <c r="H73" s="213"/>
      <c r="I73" s="163"/>
      <c r="J73" s="202">
        <f>F73*H73</f>
        <v>0</v>
      </c>
      <c r="K73" s="242"/>
    </row>
    <row r="74" spans="1:11">
      <c r="A74" s="172"/>
      <c r="B74" s="173"/>
      <c r="C74" s="173"/>
      <c r="D74" s="179"/>
      <c r="E74" s="179"/>
      <c r="F74" s="170"/>
      <c r="G74" s="171"/>
      <c r="H74" s="150"/>
      <c r="I74" s="163"/>
      <c r="J74" s="198"/>
      <c r="K74" s="242"/>
    </row>
    <row r="75" spans="1:11">
      <c r="A75" s="172" t="s">
        <v>63</v>
      </c>
      <c r="B75" s="173" t="s">
        <v>34</v>
      </c>
      <c r="C75" s="173"/>
      <c r="D75" s="251" t="s">
        <v>190</v>
      </c>
      <c r="E75" s="179"/>
      <c r="F75" s="175">
        <f>F53+F56+F59</f>
        <v>7</v>
      </c>
      <c r="G75" s="167"/>
      <c r="H75" s="213"/>
      <c r="I75" s="163"/>
      <c r="J75" s="202">
        <f>F75*H75</f>
        <v>0</v>
      </c>
      <c r="K75" s="242"/>
    </row>
    <row r="76" spans="1:11">
      <c r="A76" s="172"/>
      <c r="B76" s="173"/>
      <c r="C76" s="173"/>
      <c r="D76" s="179"/>
      <c r="E76" s="179"/>
      <c r="F76" s="170"/>
      <c r="G76" s="171"/>
      <c r="H76" s="150"/>
      <c r="I76" s="163"/>
      <c r="J76" s="198"/>
      <c r="K76" s="242"/>
    </row>
    <row r="77" spans="1:11">
      <c r="A77" s="172"/>
      <c r="B77" s="173"/>
      <c r="C77" s="173"/>
      <c r="D77" s="179"/>
      <c r="E77" s="179"/>
      <c r="F77" s="170"/>
      <c r="G77" s="171"/>
      <c r="H77" s="150"/>
      <c r="I77" s="163"/>
      <c r="J77" s="198"/>
      <c r="K77" s="242"/>
    </row>
    <row r="78" spans="1:11" ht="13.5" thickBot="1">
      <c r="A78" s="183"/>
      <c r="B78" s="252" t="s">
        <v>36</v>
      </c>
      <c r="C78" s="252"/>
      <c r="D78" s="253"/>
      <c r="E78" s="253"/>
      <c r="F78" s="234"/>
      <c r="G78" s="235"/>
      <c r="H78" s="254"/>
      <c r="I78" s="236"/>
      <c r="J78" s="189">
        <f>SUM(J71:J76)</f>
        <v>0</v>
      </c>
      <c r="K78" s="242"/>
    </row>
    <row r="79" spans="1:11" ht="13.5" thickTop="1">
      <c r="A79" s="190"/>
      <c r="B79" s="255"/>
      <c r="C79" s="255"/>
      <c r="D79" s="256"/>
      <c r="E79" s="256"/>
      <c r="F79" s="166"/>
      <c r="G79" s="167"/>
      <c r="H79" s="168"/>
      <c r="I79" s="169"/>
      <c r="J79" s="194"/>
      <c r="K79" s="242"/>
    </row>
    <row r="80" spans="1:11">
      <c r="A80" s="190"/>
      <c r="B80" s="255"/>
      <c r="C80" s="255"/>
      <c r="D80" s="256"/>
      <c r="E80" s="256"/>
      <c r="F80" s="166"/>
      <c r="G80" s="167"/>
      <c r="H80" s="168"/>
      <c r="I80" s="169"/>
      <c r="J80" s="194"/>
      <c r="K80" s="242"/>
    </row>
    <row r="81" spans="1:18">
      <c r="A81" s="190"/>
      <c r="B81" s="255"/>
      <c r="C81" s="255"/>
      <c r="D81" s="256"/>
      <c r="E81" s="256"/>
      <c r="F81" s="166"/>
      <c r="G81" s="167"/>
      <c r="H81" s="150"/>
      <c r="I81" s="163"/>
      <c r="J81" s="198"/>
      <c r="K81" s="242"/>
    </row>
    <row r="82" spans="1:18">
      <c r="A82" s="190"/>
      <c r="B82" s="255"/>
      <c r="C82" s="255"/>
      <c r="D82" s="256"/>
      <c r="E82" s="256"/>
      <c r="F82" s="166"/>
      <c r="G82" s="167"/>
      <c r="H82" s="150"/>
      <c r="I82" s="163"/>
      <c r="J82" s="198"/>
      <c r="K82" s="242"/>
    </row>
    <row r="83" spans="1:18">
      <c r="A83" s="190"/>
      <c r="B83" s="255"/>
      <c r="C83" s="255"/>
      <c r="D83" s="256"/>
      <c r="E83" s="256"/>
      <c r="F83" s="166"/>
      <c r="G83" s="167"/>
      <c r="H83" s="150"/>
      <c r="I83" s="163"/>
      <c r="J83" s="198"/>
      <c r="K83" s="242"/>
    </row>
    <row r="84" spans="1:18">
      <c r="A84" s="190"/>
      <c r="B84" s="255"/>
      <c r="C84" s="255"/>
      <c r="D84" s="256"/>
      <c r="E84" s="256"/>
      <c r="F84" s="166"/>
      <c r="G84" s="167"/>
      <c r="H84" s="150"/>
      <c r="I84" s="163"/>
      <c r="J84" s="198"/>
      <c r="K84" s="242"/>
    </row>
    <row r="85" spans="1:18">
      <c r="A85" s="190"/>
      <c r="B85" s="255"/>
      <c r="C85" s="255"/>
      <c r="D85" s="256"/>
      <c r="E85" s="256"/>
      <c r="F85" s="166"/>
      <c r="G85" s="167"/>
      <c r="H85" s="150"/>
      <c r="I85" s="163"/>
      <c r="J85" s="198"/>
      <c r="K85" s="242"/>
    </row>
    <row r="86" spans="1:18">
      <c r="A86" s="190"/>
      <c r="B86" s="255"/>
      <c r="C86" s="255"/>
      <c r="D86" s="256"/>
      <c r="E86" s="256"/>
      <c r="F86" s="166"/>
      <c r="G86" s="167"/>
      <c r="H86" s="150"/>
      <c r="I86" s="163"/>
      <c r="J86" s="198"/>
      <c r="K86" s="242"/>
    </row>
    <row r="87" spans="1:18">
      <c r="A87" s="190"/>
      <c r="B87" s="255"/>
      <c r="C87" s="255"/>
      <c r="D87" s="256"/>
      <c r="E87" s="256"/>
      <c r="F87" s="166"/>
      <c r="G87" s="167"/>
      <c r="H87" s="150"/>
      <c r="I87" s="163"/>
      <c r="J87" s="198"/>
      <c r="K87" s="242"/>
    </row>
    <row r="88" spans="1:18">
      <c r="A88" s="172"/>
      <c r="B88" s="258"/>
      <c r="C88" s="258"/>
      <c r="D88" s="257"/>
      <c r="E88" s="257"/>
      <c r="F88" s="170"/>
      <c r="G88" s="171"/>
      <c r="H88" s="150"/>
      <c r="I88" s="163"/>
      <c r="J88" s="198"/>
      <c r="K88" s="242"/>
    </row>
    <row r="89" spans="1:18">
      <c r="B89" s="242"/>
      <c r="C89" s="242"/>
      <c r="D89" s="242"/>
      <c r="E89" s="242"/>
      <c r="F89" s="206"/>
      <c r="G89" s="242"/>
      <c r="H89" s="260"/>
      <c r="I89" s="261"/>
      <c r="J89" s="262"/>
      <c r="K89" s="242"/>
    </row>
    <row r="90" spans="1:18">
      <c r="B90" s="242"/>
      <c r="C90" s="242"/>
      <c r="D90" s="242"/>
      <c r="E90" s="242"/>
      <c r="F90" s="206"/>
      <c r="G90" s="242"/>
      <c r="H90" s="260"/>
      <c r="I90" s="261"/>
      <c r="J90" s="262"/>
      <c r="K90" s="242"/>
    </row>
    <row r="91" spans="1:18">
      <c r="B91" s="242"/>
      <c r="C91" s="242"/>
      <c r="D91" s="242"/>
      <c r="E91" s="242"/>
      <c r="F91" s="206"/>
      <c r="G91" s="242"/>
      <c r="H91" s="260"/>
      <c r="I91" s="261"/>
      <c r="J91" s="262"/>
      <c r="K91" s="242"/>
    </row>
    <row r="92" spans="1:18">
      <c r="B92" s="242"/>
      <c r="C92" s="242"/>
      <c r="D92" s="242"/>
      <c r="E92" s="242"/>
      <c r="F92" s="206"/>
      <c r="G92" s="242"/>
      <c r="H92" s="260"/>
      <c r="I92" s="261"/>
      <c r="J92" s="262"/>
      <c r="K92" s="242"/>
    </row>
    <row r="93" spans="1:18">
      <c r="B93" s="242"/>
      <c r="C93" s="242"/>
      <c r="D93" s="242"/>
      <c r="E93" s="242"/>
      <c r="F93" s="206"/>
      <c r="G93" s="242"/>
      <c r="H93" s="260"/>
      <c r="I93" s="261"/>
      <c r="J93" s="262"/>
      <c r="K93" s="242"/>
      <c r="Q93" s="259"/>
      <c r="R93" s="259"/>
    </row>
    <row r="94" spans="1:18">
      <c r="B94" s="242"/>
      <c r="C94" s="242"/>
      <c r="D94" s="242"/>
      <c r="E94" s="242"/>
      <c r="F94" s="206"/>
      <c r="G94" s="242"/>
      <c r="H94" s="260"/>
      <c r="I94" s="261"/>
      <c r="J94" s="262"/>
      <c r="K94" s="242"/>
      <c r="Q94" s="259"/>
      <c r="R94" s="259"/>
    </row>
    <row r="95" spans="1:18">
      <c r="B95" s="242"/>
      <c r="C95" s="242"/>
      <c r="D95" s="242"/>
      <c r="E95" s="242"/>
      <c r="F95" s="206"/>
      <c r="G95" s="242"/>
      <c r="H95" s="260"/>
      <c r="I95" s="261"/>
      <c r="J95" s="262"/>
      <c r="K95" s="242"/>
      <c r="Q95" s="259"/>
      <c r="R95" s="259"/>
    </row>
    <row r="96" spans="1:18">
      <c r="B96" s="242"/>
      <c r="C96" s="242"/>
      <c r="D96" s="242"/>
      <c r="E96" s="242"/>
      <c r="F96" s="206"/>
      <c r="G96" s="242"/>
      <c r="H96" s="260"/>
      <c r="I96" s="261"/>
      <c r="J96" s="262"/>
      <c r="K96" s="242"/>
      <c r="Q96" s="259"/>
      <c r="R96" s="259"/>
    </row>
    <row r="97" spans="2:18">
      <c r="B97" s="242"/>
      <c r="C97" s="242"/>
      <c r="D97" s="242"/>
      <c r="E97" s="242"/>
      <c r="F97" s="206"/>
      <c r="G97" s="242"/>
      <c r="H97" s="260"/>
      <c r="I97" s="261"/>
      <c r="J97" s="262"/>
      <c r="K97" s="242"/>
      <c r="Q97" s="259"/>
      <c r="R97" s="259"/>
    </row>
    <row r="98" spans="2:18">
      <c r="B98" s="242"/>
      <c r="C98" s="242"/>
      <c r="D98" s="242"/>
      <c r="E98" s="242"/>
      <c r="F98" s="206"/>
      <c r="G98" s="242"/>
      <c r="H98" s="260"/>
      <c r="I98" s="261"/>
      <c r="J98" s="262"/>
      <c r="K98" s="242"/>
      <c r="Q98" s="259"/>
      <c r="R98" s="259"/>
    </row>
    <row r="99" spans="2:18">
      <c r="B99" s="242"/>
      <c r="C99" s="242"/>
      <c r="D99" s="242"/>
      <c r="E99" s="242"/>
      <c r="F99" s="206"/>
      <c r="G99" s="242"/>
      <c r="H99" s="260"/>
      <c r="I99" s="261"/>
      <c r="J99" s="262"/>
      <c r="K99" s="242"/>
      <c r="Q99" s="259"/>
      <c r="R99" s="259"/>
    </row>
    <row r="100" spans="2:18">
      <c r="B100" s="242"/>
      <c r="C100" s="242"/>
      <c r="D100" s="242"/>
      <c r="E100" s="242"/>
      <c r="F100" s="206"/>
      <c r="G100" s="242"/>
      <c r="H100" s="260"/>
      <c r="I100" s="261"/>
      <c r="J100" s="262"/>
      <c r="K100" s="242"/>
      <c r="Q100" s="259"/>
      <c r="R100" s="259"/>
    </row>
    <row r="101" spans="2:18">
      <c r="B101" s="242"/>
      <c r="C101" s="242"/>
      <c r="D101" s="242"/>
      <c r="E101" s="242"/>
      <c r="F101" s="206"/>
      <c r="G101" s="242"/>
      <c r="H101" s="260"/>
      <c r="I101" s="261"/>
      <c r="J101" s="262"/>
      <c r="K101" s="242"/>
      <c r="Q101" s="259"/>
      <c r="R101" s="259"/>
    </row>
    <row r="102" spans="2:18">
      <c r="B102" s="242"/>
      <c r="C102" s="242"/>
      <c r="D102" s="242"/>
      <c r="E102" s="242"/>
      <c r="F102" s="206"/>
      <c r="G102" s="242"/>
      <c r="H102" s="260"/>
      <c r="I102" s="261"/>
      <c r="J102" s="262"/>
      <c r="K102" s="242"/>
      <c r="Q102" s="259"/>
      <c r="R102" s="259"/>
    </row>
    <row r="103" spans="2:18">
      <c r="B103" s="242"/>
      <c r="C103" s="242"/>
      <c r="D103" s="242"/>
      <c r="E103" s="242"/>
      <c r="F103" s="206"/>
      <c r="G103" s="242"/>
      <c r="H103" s="260"/>
      <c r="I103" s="261"/>
      <c r="J103" s="262"/>
      <c r="K103" s="263"/>
      <c r="L103" s="263"/>
      <c r="M103" s="264"/>
      <c r="Q103" s="259"/>
      <c r="R103" s="259"/>
    </row>
    <row r="104" spans="2:18">
      <c r="B104" s="242"/>
      <c r="C104" s="242"/>
      <c r="D104" s="242"/>
      <c r="E104" s="242"/>
      <c r="F104" s="206"/>
      <c r="G104" s="242"/>
      <c r="H104" s="260"/>
      <c r="I104" s="261"/>
      <c r="J104" s="262"/>
      <c r="K104" s="265"/>
      <c r="L104" s="265"/>
      <c r="M104" s="264"/>
    </row>
    <row r="105" spans="2:18">
      <c r="B105" s="242"/>
      <c r="C105" s="242"/>
      <c r="D105" s="242"/>
      <c r="E105" s="242"/>
      <c r="F105" s="206"/>
      <c r="G105" s="242"/>
      <c r="H105" s="260"/>
      <c r="I105" s="261"/>
      <c r="J105" s="262"/>
      <c r="K105" s="261"/>
      <c r="L105" s="261"/>
      <c r="M105" s="264"/>
    </row>
    <row r="106" spans="2:18">
      <c r="B106" s="242"/>
      <c r="C106" s="242"/>
      <c r="D106" s="242"/>
      <c r="E106" s="242"/>
      <c r="F106" s="206"/>
      <c r="G106" s="242"/>
      <c r="H106" s="260"/>
      <c r="I106" s="261"/>
      <c r="J106" s="262"/>
      <c r="K106" s="242"/>
    </row>
    <row r="107" spans="2:18">
      <c r="B107" s="242"/>
      <c r="C107" s="242"/>
      <c r="D107" s="242"/>
      <c r="E107" s="242"/>
      <c r="F107" s="206"/>
      <c r="G107" s="242"/>
      <c r="H107" s="260"/>
      <c r="I107" s="261"/>
      <c r="J107" s="262"/>
      <c r="K107" s="242"/>
    </row>
    <row r="108" spans="2:18">
      <c r="B108" s="242"/>
      <c r="C108" s="242"/>
      <c r="D108" s="242"/>
      <c r="E108" s="242"/>
      <c r="F108" s="206"/>
      <c r="G108" s="242"/>
      <c r="H108" s="260"/>
      <c r="I108" s="261"/>
      <c r="J108" s="262"/>
      <c r="K108" s="242"/>
    </row>
    <row r="109" spans="2:18">
      <c r="B109" s="242"/>
      <c r="C109" s="242"/>
      <c r="D109" s="242"/>
      <c r="E109" s="242"/>
      <c r="F109" s="206"/>
      <c r="G109" s="242"/>
      <c r="H109" s="260"/>
      <c r="I109" s="261"/>
      <c r="J109" s="262"/>
      <c r="K109" s="242"/>
    </row>
    <row r="110" spans="2:18">
      <c r="B110" s="242"/>
      <c r="C110" s="242"/>
      <c r="D110" s="242"/>
      <c r="E110" s="242"/>
      <c r="F110" s="206"/>
      <c r="G110" s="242"/>
      <c r="H110" s="260"/>
      <c r="I110" s="261"/>
      <c r="J110" s="262"/>
      <c r="K110" s="242"/>
    </row>
    <row r="111" spans="2:18">
      <c r="B111" s="242"/>
      <c r="C111" s="242"/>
      <c r="D111" s="242"/>
      <c r="E111" s="242"/>
      <c r="F111" s="206"/>
      <c r="G111" s="242"/>
      <c r="H111" s="260"/>
      <c r="I111" s="261"/>
      <c r="J111" s="262"/>
      <c r="K111" s="242"/>
    </row>
    <row r="112" spans="2:18">
      <c r="B112" s="242"/>
      <c r="C112" s="242"/>
      <c r="D112" s="242"/>
      <c r="E112" s="242"/>
      <c r="F112" s="206"/>
      <c r="G112" s="242"/>
      <c r="H112" s="260"/>
      <c r="I112" s="261"/>
      <c r="J112" s="262"/>
      <c r="K112" s="242"/>
    </row>
    <row r="113" spans="2:11">
      <c r="B113" s="242"/>
      <c r="C113" s="242"/>
      <c r="D113" s="242"/>
      <c r="E113" s="242"/>
      <c r="F113" s="206"/>
      <c r="G113" s="242"/>
      <c r="H113" s="260"/>
      <c r="I113" s="261"/>
      <c r="J113" s="262"/>
      <c r="K113" s="242"/>
    </row>
    <row r="114" spans="2:11">
      <c r="B114" s="242"/>
      <c r="C114" s="242"/>
      <c r="D114" s="242"/>
      <c r="E114" s="242"/>
      <c r="F114" s="206"/>
      <c r="G114" s="242"/>
      <c r="H114" s="260"/>
      <c r="I114" s="261"/>
      <c r="J114" s="262"/>
      <c r="K114" s="242"/>
    </row>
    <row r="115" spans="2:11">
      <c r="B115" s="242"/>
      <c r="C115" s="242"/>
      <c r="D115" s="242"/>
      <c r="E115" s="242"/>
      <c r="F115" s="206"/>
      <c r="G115" s="242"/>
      <c r="H115" s="260"/>
      <c r="I115" s="261"/>
      <c r="J115" s="262"/>
      <c r="K115" s="242"/>
    </row>
    <row r="116" spans="2:11">
      <c r="B116" s="242"/>
      <c r="C116" s="242"/>
      <c r="D116" s="242"/>
      <c r="E116" s="242"/>
      <c r="F116" s="206"/>
      <c r="G116" s="242"/>
      <c r="H116" s="260"/>
      <c r="I116" s="261"/>
      <c r="J116" s="262"/>
      <c r="K116" s="242"/>
    </row>
    <row r="117" spans="2:11">
      <c r="B117" s="242"/>
      <c r="C117" s="242"/>
      <c r="D117" s="242"/>
      <c r="E117" s="242"/>
      <c r="F117" s="206"/>
      <c r="G117" s="242"/>
      <c r="H117" s="260"/>
      <c r="I117" s="261"/>
      <c r="J117" s="262"/>
      <c r="K117" s="242"/>
    </row>
    <row r="118" spans="2:11">
      <c r="B118" s="242"/>
      <c r="C118" s="242"/>
      <c r="D118" s="242"/>
      <c r="E118" s="242"/>
      <c r="F118" s="206"/>
      <c r="G118" s="242"/>
      <c r="H118" s="260"/>
      <c r="I118" s="261"/>
      <c r="J118" s="262"/>
      <c r="K118" s="242"/>
    </row>
    <row r="119" spans="2:11">
      <c r="B119" s="242"/>
      <c r="C119" s="242"/>
      <c r="D119" s="242"/>
      <c r="E119" s="242"/>
      <c r="F119" s="206"/>
      <c r="G119" s="242"/>
      <c r="H119" s="260"/>
      <c r="I119" s="261"/>
      <c r="J119" s="262"/>
      <c r="K119" s="242"/>
    </row>
    <row r="120" spans="2:11">
      <c r="B120" s="242"/>
      <c r="C120" s="242"/>
      <c r="D120" s="242"/>
      <c r="E120" s="242"/>
      <c r="F120" s="206"/>
      <c r="G120" s="242"/>
      <c r="H120" s="260"/>
      <c r="I120" s="261"/>
      <c r="J120" s="262"/>
      <c r="K120" s="242"/>
    </row>
    <row r="121" spans="2:11">
      <c r="B121" s="242"/>
      <c r="C121" s="242"/>
      <c r="D121" s="242"/>
      <c r="E121" s="242"/>
      <c r="F121" s="206"/>
      <c r="G121" s="242"/>
      <c r="H121" s="260"/>
      <c r="I121" s="261"/>
      <c r="J121" s="262"/>
      <c r="K121" s="242"/>
    </row>
    <row r="122" spans="2:11">
      <c r="B122" s="242"/>
      <c r="C122" s="242"/>
      <c r="D122" s="242"/>
      <c r="E122" s="242"/>
      <c r="F122" s="206"/>
      <c r="G122" s="242"/>
      <c r="H122" s="260"/>
      <c r="I122" s="261"/>
      <c r="J122" s="262"/>
      <c r="K122" s="242"/>
    </row>
    <row r="123" spans="2:11">
      <c r="B123" s="242"/>
      <c r="C123" s="242"/>
      <c r="D123" s="242"/>
      <c r="E123" s="242"/>
      <c r="F123" s="206"/>
      <c r="G123" s="242"/>
      <c r="H123" s="260"/>
      <c r="I123" s="261"/>
      <c r="J123" s="262"/>
      <c r="K123" s="242"/>
    </row>
    <row r="124" spans="2:11">
      <c r="B124" s="242"/>
      <c r="C124" s="242"/>
      <c r="D124" s="242"/>
      <c r="E124" s="242"/>
      <c r="F124" s="206"/>
      <c r="G124" s="242"/>
      <c r="H124" s="260"/>
      <c r="I124" s="261"/>
      <c r="J124" s="262"/>
      <c r="K124" s="242"/>
    </row>
    <row r="125" spans="2:11">
      <c r="B125" s="242"/>
      <c r="C125" s="242"/>
      <c r="D125" s="242"/>
      <c r="E125" s="242"/>
      <c r="F125" s="206"/>
      <c r="G125" s="242"/>
      <c r="H125" s="260"/>
      <c r="I125" s="261"/>
      <c r="J125" s="262"/>
      <c r="K125" s="242"/>
    </row>
    <row r="126" spans="2:11">
      <c r="B126" s="242"/>
      <c r="C126" s="242"/>
      <c r="D126" s="242"/>
      <c r="E126" s="242"/>
      <c r="F126" s="206"/>
      <c r="G126" s="242"/>
      <c r="H126" s="260"/>
      <c r="I126" s="261"/>
      <c r="J126" s="262"/>
      <c r="K126" s="242"/>
    </row>
    <row r="127" spans="2:11">
      <c r="B127" s="242"/>
      <c r="C127" s="242"/>
      <c r="D127" s="242"/>
      <c r="E127" s="242"/>
      <c r="F127" s="206"/>
      <c r="G127" s="242"/>
      <c r="H127" s="260"/>
      <c r="I127" s="261"/>
      <c r="J127" s="262"/>
      <c r="K127" s="242"/>
    </row>
    <row r="128" spans="2:11">
      <c r="D128" s="242"/>
      <c r="E128" s="242"/>
      <c r="F128" s="206"/>
      <c r="G128" s="242"/>
      <c r="H128" s="260"/>
      <c r="I128" s="261"/>
      <c r="J128" s="262"/>
      <c r="K128" s="242"/>
    </row>
    <row r="129" spans="4:11">
      <c r="D129" s="242"/>
      <c r="E129" s="242"/>
      <c r="F129" s="206"/>
      <c r="G129" s="242"/>
      <c r="H129" s="260"/>
      <c r="I129" s="261"/>
      <c r="J129" s="262"/>
      <c r="K129" s="242"/>
    </row>
    <row r="130" spans="4:11">
      <c r="D130" s="242"/>
      <c r="E130" s="242"/>
      <c r="F130" s="206"/>
      <c r="G130" s="242"/>
      <c r="H130" s="260"/>
      <c r="I130" s="261"/>
      <c r="J130" s="262"/>
      <c r="K130" s="242"/>
    </row>
    <row r="131" spans="4:11">
      <c r="D131" s="242"/>
      <c r="E131" s="242"/>
      <c r="F131" s="206"/>
      <c r="G131" s="242"/>
      <c r="H131" s="260"/>
      <c r="I131" s="261"/>
      <c r="J131" s="262"/>
      <c r="K131" s="242"/>
    </row>
    <row r="132" spans="4:11">
      <c r="D132" s="242"/>
      <c r="E132" s="242"/>
      <c r="F132" s="206"/>
      <c r="G132" s="242"/>
      <c r="H132" s="260"/>
      <c r="I132" s="261"/>
      <c r="J132" s="262"/>
      <c r="K132" s="242"/>
    </row>
    <row r="133" spans="4:11">
      <c r="D133" s="242"/>
      <c r="E133" s="242"/>
      <c r="F133" s="206"/>
      <c r="G133" s="242"/>
      <c r="H133" s="260"/>
      <c r="I133" s="261"/>
      <c r="J133" s="262"/>
      <c r="K133" s="242"/>
    </row>
    <row r="134" spans="4:11">
      <c r="D134" s="242"/>
      <c r="E134" s="242"/>
      <c r="F134" s="206"/>
      <c r="G134" s="242"/>
      <c r="H134" s="260"/>
      <c r="I134" s="261"/>
      <c r="J134" s="262"/>
      <c r="K134" s="242"/>
    </row>
    <row r="135" spans="4:11">
      <c r="D135" s="242"/>
      <c r="E135" s="242"/>
      <c r="F135" s="206"/>
      <c r="G135" s="242"/>
      <c r="H135" s="260"/>
      <c r="I135" s="261"/>
      <c r="J135" s="262"/>
      <c r="K135" s="242"/>
    </row>
    <row r="136" spans="4:11">
      <c r="D136" s="242"/>
      <c r="E136" s="242"/>
      <c r="F136" s="206"/>
      <c r="G136" s="242"/>
      <c r="H136" s="260"/>
      <c r="I136" s="261"/>
      <c r="J136" s="262"/>
      <c r="K136" s="242"/>
    </row>
    <row r="137" spans="4:11">
      <c r="D137" s="242"/>
      <c r="E137" s="242"/>
      <c r="F137" s="206"/>
      <c r="G137" s="242"/>
      <c r="H137" s="260"/>
      <c r="I137" s="261"/>
      <c r="J137" s="262"/>
      <c r="K137" s="242"/>
    </row>
    <row r="138" spans="4:11">
      <c r="D138" s="242"/>
      <c r="E138" s="242"/>
      <c r="F138" s="206"/>
      <c r="G138" s="242"/>
      <c r="H138" s="260"/>
      <c r="I138" s="261"/>
      <c r="J138" s="262"/>
      <c r="K138" s="242"/>
    </row>
    <row r="139" spans="4:11">
      <c r="D139" s="242"/>
      <c r="E139" s="242"/>
      <c r="F139" s="206"/>
      <c r="G139" s="242"/>
      <c r="H139" s="260"/>
      <c r="I139" s="261"/>
      <c r="J139" s="262"/>
      <c r="K139" s="242"/>
    </row>
    <row r="140" spans="4:11">
      <c r="D140" s="242"/>
      <c r="E140" s="242"/>
      <c r="F140" s="206"/>
      <c r="G140" s="242"/>
      <c r="H140" s="260"/>
      <c r="I140" s="261"/>
      <c r="J140" s="262"/>
      <c r="K140" s="242"/>
    </row>
    <row r="141" spans="4:11">
      <c r="D141" s="242"/>
      <c r="E141" s="242"/>
      <c r="F141" s="206"/>
      <c r="G141" s="242"/>
      <c r="H141" s="260"/>
      <c r="I141" s="261"/>
      <c r="J141" s="262"/>
      <c r="K141" s="242"/>
    </row>
    <row r="142" spans="4:11">
      <c r="D142" s="242"/>
      <c r="E142" s="242"/>
      <c r="F142" s="206"/>
      <c r="G142" s="242"/>
      <c r="H142" s="260"/>
      <c r="I142" s="261"/>
      <c r="J142" s="262"/>
      <c r="K142" s="242"/>
    </row>
    <row r="143" spans="4:11">
      <c r="D143" s="242"/>
      <c r="E143" s="242"/>
      <c r="F143" s="206"/>
      <c r="G143" s="242"/>
      <c r="H143" s="260"/>
      <c r="I143" s="261"/>
      <c r="J143" s="262"/>
      <c r="K143" s="242"/>
    </row>
    <row r="144" spans="4:11">
      <c r="D144" s="242"/>
      <c r="E144" s="242"/>
      <c r="F144" s="206"/>
      <c r="G144" s="242"/>
      <c r="H144" s="260"/>
      <c r="I144" s="261"/>
      <c r="J144" s="262"/>
      <c r="K144" s="242"/>
    </row>
    <row r="145" spans="4:10">
      <c r="D145" s="242"/>
      <c r="E145" s="242"/>
      <c r="F145" s="206"/>
      <c r="G145" s="242"/>
      <c r="H145" s="260"/>
      <c r="I145" s="261"/>
      <c r="J145" s="262"/>
    </row>
    <row r="146" spans="4:10">
      <c r="D146" s="242"/>
      <c r="E146" s="242"/>
      <c r="F146" s="206"/>
      <c r="G146" s="242"/>
      <c r="H146" s="260"/>
      <c r="I146" s="261"/>
      <c r="J146" s="262"/>
    </row>
    <row r="147" spans="4:10">
      <c r="D147" s="242"/>
      <c r="E147" s="242"/>
      <c r="F147" s="206"/>
      <c r="G147" s="242"/>
      <c r="H147" s="260"/>
      <c r="I147" s="261"/>
      <c r="J147" s="262"/>
    </row>
    <row r="148" spans="4:10">
      <c r="D148" s="242"/>
      <c r="E148" s="242"/>
      <c r="F148" s="206"/>
      <c r="G148" s="242"/>
      <c r="H148" s="260"/>
      <c r="I148" s="261"/>
      <c r="J148" s="262"/>
    </row>
    <row r="149" spans="4:10">
      <c r="D149" s="242"/>
      <c r="E149" s="242"/>
      <c r="F149" s="206"/>
      <c r="G149" s="242"/>
      <c r="H149" s="260"/>
      <c r="I149" s="261"/>
      <c r="J149" s="262"/>
    </row>
    <row r="150" spans="4:10">
      <c r="D150" s="242"/>
      <c r="E150" s="242"/>
      <c r="F150" s="206"/>
      <c r="G150" s="242"/>
      <c r="H150" s="260"/>
      <c r="I150" s="261"/>
      <c r="J150" s="262"/>
    </row>
    <row r="151" spans="4:10">
      <c r="D151" s="242"/>
      <c r="E151" s="242"/>
      <c r="F151" s="206"/>
      <c r="G151" s="242"/>
      <c r="H151" s="260"/>
      <c r="I151" s="261"/>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62"/>
    </row>
    <row r="184" spans="4:10">
      <c r="D184" s="242"/>
      <c r="E184" s="242"/>
      <c r="F184" s="206"/>
      <c r="G184" s="242"/>
      <c r="H184" s="260"/>
      <c r="I184" s="266"/>
      <c r="J184" s="262"/>
    </row>
    <row r="185" spans="4:10">
      <c r="D185" s="242"/>
      <c r="E185" s="242"/>
      <c r="F185" s="206"/>
      <c r="G185" s="242"/>
      <c r="H185" s="260"/>
      <c r="I185" s="266"/>
      <c r="J185" s="262"/>
    </row>
    <row r="186" spans="4:10">
      <c r="D186" s="242"/>
      <c r="E186" s="242"/>
      <c r="F186" s="206"/>
      <c r="G186" s="242"/>
      <c r="H186" s="260"/>
      <c r="I186" s="266"/>
      <c r="J186" s="262"/>
    </row>
    <row r="187" spans="4:10">
      <c r="D187" s="242"/>
      <c r="E187" s="242"/>
      <c r="F187" s="206"/>
      <c r="G187" s="242"/>
      <c r="H187" s="260"/>
      <c r="I187" s="266"/>
      <c r="J187" s="262"/>
    </row>
    <row r="188" spans="4:10">
      <c r="D188" s="242"/>
      <c r="E188" s="242"/>
      <c r="F188" s="206"/>
      <c r="G188" s="242"/>
      <c r="H188" s="260"/>
      <c r="I188" s="266"/>
      <c r="J188" s="262"/>
    </row>
    <row r="189" spans="4:10">
      <c r="D189" s="242"/>
      <c r="E189" s="242"/>
      <c r="F189" s="206"/>
      <c r="G189" s="242"/>
      <c r="H189" s="260"/>
      <c r="I189" s="266"/>
      <c r="J189" s="262"/>
    </row>
    <row r="190" spans="4:10">
      <c r="D190" s="242"/>
      <c r="E190" s="242"/>
      <c r="F190" s="206"/>
      <c r="G190" s="242"/>
      <c r="H190" s="260"/>
      <c r="I190" s="266"/>
      <c r="J190" s="262"/>
    </row>
    <row r="191" spans="4:10">
      <c r="D191" s="242"/>
      <c r="E191" s="242"/>
      <c r="F191" s="206"/>
      <c r="G191" s="242"/>
      <c r="H191" s="260"/>
      <c r="I191" s="266"/>
      <c r="J191" s="262"/>
    </row>
    <row r="192" spans="4:10">
      <c r="D192" s="242"/>
      <c r="E192" s="242"/>
      <c r="F192" s="206"/>
      <c r="G192" s="242"/>
      <c r="H192" s="260"/>
      <c r="I192" s="266"/>
      <c r="J192" s="262"/>
    </row>
    <row r="193" spans="4:10">
      <c r="D193" s="242"/>
      <c r="E193" s="242"/>
      <c r="F193" s="206"/>
      <c r="G193" s="242"/>
      <c r="H193" s="260"/>
      <c r="I193" s="266"/>
      <c r="J193" s="262"/>
    </row>
    <row r="194" spans="4:10">
      <c r="D194" s="242"/>
      <c r="E194" s="242"/>
      <c r="F194" s="206"/>
      <c r="G194" s="242"/>
      <c r="H194" s="260"/>
      <c r="I194" s="266"/>
      <c r="J194" s="262"/>
    </row>
    <row r="195" spans="4:10">
      <c r="D195" s="242"/>
      <c r="E195" s="242"/>
      <c r="F195" s="206"/>
      <c r="G195" s="242"/>
      <c r="H195" s="260"/>
      <c r="I195" s="266"/>
      <c r="J195" s="262"/>
    </row>
    <row r="196" spans="4:10">
      <c r="D196" s="242"/>
      <c r="E196" s="242"/>
      <c r="F196" s="206"/>
      <c r="G196" s="242"/>
      <c r="H196" s="260"/>
      <c r="I196" s="266"/>
      <c r="J196" s="262"/>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60"/>
      <c r="I253" s="266"/>
      <c r="J253" s="206"/>
    </row>
    <row r="254" spans="4:10">
      <c r="D254" s="242"/>
      <c r="E254" s="242"/>
      <c r="F254" s="206"/>
      <c r="G254" s="242"/>
      <c r="H254" s="260"/>
      <c r="I254" s="266"/>
      <c r="J254" s="206"/>
    </row>
    <row r="255" spans="4:10">
      <c r="D255" s="242"/>
      <c r="E255" s="242"/>
      <c r="F255" s="206"/>
      <c r="G255" s="242"/>
      <c r="H255" s="260"/>
      <c r="I255" s="266"/>
      <c r="J255" s="206"/>
    </row>
    <row r="256" spans="4:10">
      <c r="D256" s="242"/>
      <c r="E256" s="242"/>
      <c r="F256" s="206"/>
      <c r="G256" s="242"/>
      <c r="H256" s="260"/>
      <c r="I256" s="266"/>
      <c r="J256" s="206"/>
    </row>
    <row r="257" spans="4:10">
      <c r="D257" s="242"/>
      <c r="E257" s="242"/>
      <c r="F257" s="206"/>
      <c r="G257" s="242"/>
      <c r="H257" s="260"/>
      <c r="I257" s="266"/>
      <c r="J257" s="206"/>
    </row>
    <row r="258" spans="4:10">
      <c r="D258" s="242"/>
      <c r="E258" s="242"/>
      <c r="F258" s="206"/>
      <c r="G258" s="242"/>
      <c r="H258" s="260"/>
      <c r="I258" s="266"/>
      <c r="J258" s="206"/>
    </row>
    <row r="259" spans="4:10">
      <c r="D259" s="242"/>
      <c r="E259" s="242"/>
      <c r="F259" s="206"/>
      <c r="G259" s="242"/>
      <c r="H259" s="260"/>
      <c r="I259" s="266"/>
      <c r="J259" s="206"/>
    </row>
    <row r="260" spans="4:10">
      <c r="D260" s="242"/>
      <c r="E260" s="242"/>
      <c r="F260" s="206"/>
      <c r="G260" s="242"/>
      <c r="H260" s="260"/>
      <c r="I260" s="266"/>
      <c r="J260" s="206"/>
    </row>
    <row r="261" spans="4:10">
      <c r="D261" s="242"/>
      <c r="E261" s="242"/>
      <c r="F261" s="206"/>
      <c r="G261" s="242"/>
      <c r="H261" s="260"/>
      <c r="I261" s="266"/>
      <c r="J261" s="206"/>
    </row>
    <row r="262" spans="4:10">
      <c r="D262" s="242"/>
      <c r="E262" s="242"/>
      <c r="F262" s="206"/>
      <c r="G262" s="242"/>
      <c r="H262" s="260"/>
      <c r="I262" s="266"/>
      <c r="J262" s="206"/>
    </row>
    <row r="263" spans="4:10">
      <c r="D263" s="242"/>
      <c r="E263" s="242"/>
      <c r="F263" s="206"/>
      <c r="G263" s="242"/>
      <c r="H263" s="260"/>
      <c r="I263" s="266"/>
      <c r="J263" s="206"/>
    </row>
    <row r="264" spans="4:10">
      <c r="D264" s="242"/>
      <c r="E264" s="242"/>
      <c r="F264" s="206"/>
      <c r="G264" s="242"/>
      <c r="H264" s="260"/>
      <c r="I264" s="266"/>
      <c r="J264" s="206"/>
    </row>
    <row r="265" spans="4:10">
      <c r="D265" s="242"/>
      <c r="E265" s="242"/>
      <c r="F265" s="206"/>
      <c r="G265" s="242"/>
      <c r="H265" s="260"/>
      <c r="I265" s="266"/>
      <c r="J265" s="206"/>
    </row>
    <row r="266" spans="4:10">
      <c r="D266" s="242"/>
      <c r="E266" s="242"/>
      <c r="F266" s="206"/>
      <c r="G266" s="242"/>
      <c r="H266" s="260"/>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D272" s="242"/>
      <c r="E272" s="242"/>
      <c r="F272" s="206"/>
      <c r="G272" s="242"/>
      <c r="H272" s="206"/>
      <c r="I272" s="266"/>
      <c r="J272" s="206"/>
    </row>
    <row r="273" spans="4:10">
      <c r="D273" s="242"/>
      <c r="E273" s="242"/>
      <c r="F273" s="206"/>
      <c r="G273" s="242"/>
      <c r="H273" s="206"/>
      <c r="I273" s="266"/>
      <c r="J273" s="206"/>
    </row>
    <row r="274" spans="4:10">
      <c r="D274" s="242"/>
      <c r="E274" s="242"/>
      <c r="F274" s="206"/>
      <c r="G274" s="242"/>
      <c r="H274" s="206"/>
      <c r="I274" s="266"/>
      <c r="J274" s="206"/>
    </row>
    <row r="275" spans="4:10">
      <c r="D275" s="242"/>
      <c r="E275" s="242"/>
      <c r="F275" s="206"/>
      <c r="G275" s="242"/>
      <c r="H275" s="206"/>
      <c r="I275" s="266"/>
      <c r="J275" s="206"/>
    </row>
    <row r="276" spans="4:10">
      <c r="D276" s="242"/>
      <c r="E276" s="242"/>
      <c r="F276" s="206"/>
      <c r="G276" s="242"/>
      <c r="H276" s="206"/>
      <c r="I276" s="266"/>
      <c r="J276" s="206"/>
    </row>
    <row r="277" spans="4:10">
      <c r="D277" s="242"/>
      <c r="E277" s="242"/>
      <c r="F277" s="206"/>
      <c r="G277" s="242"/>
      <c r="H277" s="206"/>
      <c r="I277" s="266"/>
      <c r="J277" s="206"/>
    </row>
    <row r="278" spans="4:10">
      <c r="D278" s="242"/>
      <c r="E278" s="242"/>
      <c r="F278" s="206"/>
      <c r="G278" s="242"/>
      <c r="H278" s="206"/>
      <c r="I278" s="266"/>
      <c r="J278" s="206"/>
    </row>
    <row r="279" spans="4:10">
      <c r="D279" s="242"/>
      <c r="E279" s="242"/>
      <c r="F279" s="206"/>
      <c r="G279" s="242"/>
      <c r="H279" s="206"/>
      <c r="I279" s="266"/>
      <c r="J279" s="206"/>
    </row>
    <row r="280" spans="4:10">
      <c r="D280" s="242"/>
      <c r="E280" s="242"/>
      <c r="F280" s="206"/>
      <c r="G280" s="242"/>
      <c r="H280" s="206"/>
      <c r="I280" s="266"/>
      <c r="J280" s="206"/>
    </row>
    <row r="281" spans="4:10">
      <c r="D281" s="242"/>
      <c r="E281" s="242"/>
      <c r="F281" s="206"/>
      <c r="G281" s="242"/>
      <c r="H281" s="206"/>
      <c r="I281" s="266"/>
      <c r="J281" s="206"/>
    </row>
    <row r="282" spans="4:10">
      <c r="D282" s="242"/>
      <c r="E282" s="242"/>
      <c r="F282" s="206"/>
      <c r="G282" s="242"/>
      <c r="H282" s="206"/>
      <c r="I282" s="266"/>
      <c r="J282" s="206"/>
    </row>
    <row r="283" spans="4:10">
      <c r="D283" s="242"/>
      <c r="E283" s="242"/>
      <c r="F283" s="206"/>
      <c r="G283" s="242"/>
      <c r="H283" s="206"/>
      <c r="I283" s="266"/>
      <c r="J283" s="206"/>
    </row>
    <row r="284" spans="4:10">
      <c r="D284" s="242"/>
      <c r="E284" s="242"/>
      <c r="F284" s="206"/>
      <c r="G284" s="242"/>
      <c r="H284" s="206"/>
      <c r="I284" s="266"/>
      <c r="J284" s="206"/>
    </row>
    <row r="285" spans="4:10">
      <c r="D285" s="242"/>
      <c r="E285" s="242"/>
      <c r="F285" s="206"/>
      <c r="G285" s="242"/>
      <c r="H285" s="206"/>
      <c r="I285" s="266"/>
      <c r="J285" s="206"/>
    </row>
    <row r="286" spans="4:10">
      <c r="D286" s="242"/>
      <c r="E286" s="242"/>
      <c r="F286" s="206"/>
      <c r="G286" s="242"/>
      <c r="H286" s="206"/>
      <c r="I286" s="266"/>
      <c r="J286" s="206"/>
    </row>
    <row r="287" spans="4:10">
      <c r="D287" s="242"/>
      <c r="E287" s="242"/>
      <c r="F287" s="206"/>
      <c r="G287" s="242"/>
      <c r="H287" s="206"/>
      <c r="I287" s="266"/>
      <c r="J287" s="206"/>
    </row>
    <row r="288" spans="4:10">
      <c r="D288" s="242"/>
      <c r="E288" s="242"/>
      <c r="F288" s="206"/>
      <c r="G288" s="242"/>
      <c r="H288" s="206"/>
      <c r="I288" s="266"/>
      <c r="J288" s="206"/>
    </row>
    <row r="289" spans="4:10">
      <c r="D289" s="242"/>
      <c r="E289" s="242"/>
      <c r="F289" s="206"/>
      <c r="G289" s="242"/>
      <c r="H289" s="206"/>
      <c r="I289" s="266"/>
      <c r="J289" s="206"/>
    </row>
    <row r="290" spans="4:10">
      <c r="D290" s="242"/>
      <c r="E290" s="242"/>
      <c r="F290" s="206"/>
      <c r="G290" s="242"/>
      <c r="H290" s="206"/>
      <c r="I290" s="266"/>
      <c r="J290" s="206"/>
    </row>
    <row r="291" spans="4:10">
      <c r="I291" s="267"/>
    </row>
    <row r="292" spans="4:10">
      <c r="I292" s="267"/>
    </row>
    <row r="293" spans="4:10">
      <c r="I293" s="267"/>
    </row>
    <row r="294" spans="4:10">
      <c r="I294" s="267"/>
    </row>
    <row r="295" spans="4:10">
      <c r="I295" s="267"/>
    </row>
    <row r="296" spans="4:10">
      <c r="I296" s="267"/>
    </row>
    <row r="297" spans="4:10">
      <c r="I297" s="267"/>
    </row>
    <row r="298" spans="4:10">
      <c r="I298" s="267"/>
    </row>
    <row r="305" spans="1:28" s="104" customFormat="1">
      <c r="A305"/>
      <c r="B305"/>
      <c r="C305"/>
      <c r="D305"/>
      <c r="E305"/>
      <c r="F305" s="105"/>
      <c r="G305"/>
      <c r="I305" s="108"/>
      <c r="K305"/>
      <c r="L305"/>
      <c r="M305"/>
      <c r="N305"/>
      <c r="O305"/>
      <c r="P305"/>
      <c r="Q305"/>
      <c r="R305"/>
      <c r="S305"/>
      <c r="T305"/>
      <c r="U305"/>
      <c r="V305"/>
      <c r="W305"/>
      <c r="X305"/>
      <c r="Y305"/>
      <c r="Z305"/>
      <c r="AA305"/>
      <c r="AB305"/>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rowBreaks count="1" manualBreakCount="1">
    <brk id="39"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284"/>
  <sheetViews>
    <sheetView view="pageBreakPreview" topLeftCell="A34" zoomScale="130" zoomScaleSheetLayoutView="130" workbookViewId="0">
      <selection activeCell="H63" sqref="H63"/>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41</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Q19</f>
        <v>138.75</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f>R13+R14</f>
        <v>7</v>
      </c>
      <c r="G11" s="167"/>
      <c r="H11" s="176"/>
      <c r="I11" s="163"/>
      <c r="J11" s="176">
        <f>F11*H11</f>
        <v>0</v>
      </c>
      <c r="K11" s="136"/>
      <c r="L11" s="136" t="s">
        <v>451</v>
      </c>
      <c r="N11">
        <v>0</v>
      </c>
      <c r="O11">
        <v>22.25</v>
      </c>
      <c r="P11">
        <v>0</v>
      </c>
      <c r="Q11">
        <v>594.27</v>
      </c>
      <c r="R11">
        <v>553.71</v>
      </c>
      <c r="S11">
        <v>40.56</v>
      </c>
      <c r="T11">
        <v>0</v>
      </c>
      <c r="U11">
        <v>0</v>
      </c>
      <c r="V11">
        <v>0</v>
      </c>
      <c r="W11">
        <v>587.46</v>
      </c>
      <c r="X11">
        <v>421.33</v>
      </c>
      <c r="Y11">
        <v>84.98</v>
      </c>
      <c r="Z11">
        <v>66.84</v>
      </c>
      <c r="AA11">
        <v>14.31</v>
      </c>
      <c r="AB11">
        <v>421.33</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2</v>
      </c>
      <c r="G13" s="167"/>
      <c r="H13" s="176"/>
      <c r="I13" s="182"/>
      <c r="J13" s="176">
        <f>F13*H13</f>
        <v>0</v>
      </c>
      <c r="K13" s="136"/>
      <c r="L13" s="136" t="s">
        <v>179</v>
      </c>
      <c r="M13" t="s">
        <v>389</v>
      </c>
      <c r="N13">
        <v>1</v>
      </c>
      <c r="O13" t="s">
        <v>390</v>
      </c>
      <c r="P13" t="s">
        <v>391</v>
      </c>
      <c r="Q13">
        <v>1000</v>
      </c>
      <c r="R13">
        <v>3</v>
      </c>
    </row>
    <row r="14" spans="1:28" ht="14.25">
      <c r="A14" s="172"/>
      <c r="B14" s="173"/>
      <c r="C14" s="173"/>
      <c r="D14" s="165"/>
      <c r="E14" s="165"/>
      <c r="F14" s="166"/>
      <c r="G14" s="167"/>
      <c r="H14" s="168"/>
      <c r="I14" s="182"/>
      <c r="J14" s="168"/>
      <c r="K14" s="136"/>
      <c r="L14" s="136" t="s">
        <v>177</v>
      </c>
      <c r="M14" t="s">
        <v>389</v>
      </c>
      <c r="N14">
        <v>11</v>
      </c>
      <c r="O14" t="s">
        <v>392</v>
      </c>
      <c r="P14" t="s">
        <v>391</v>
      </c>
      <c r="Q14">
        <v>1000</v>
      </c>
      <c r="R14">
        <v>4</v>
      </c>
    </row>
    <row r="15" spans="1:28" ht="14.25">
      <c r="A15" s="172" t="s">
        <v>67</v>
      </c>
      <c r="B15" s="173" t="s">
        <v>74</v>
      </c>
      <c r="C15" s="173"/>
      <c r="D15" s="174" t="s">
        <v>190</v>
      </c>
      <c r="E15" s="165"/>
      <c r="F15" s="175">
        <v>1</v>
      </c>
      <c r="G15" s="167"/>
      <c r="H15" s="176"/>
      <c r="I15" s="182"/>
      <c r="J15" s="176">
        <f>F15*H15</f>
        <v>0</v>
      </c>
      <c r="K15" s="136"/>
      <c r="L15" s="136"/>
    </row>
    <row r="16" spans="1:28" ht="14.25">
      <c r="A16" s="172"/>
      <c r="B16" s="173"/>
      <c r="C16" s="173"/>
      <c r="D16" s="165"/>
      <c r="E16" s="165"/>
      <c r="F16" s="166"/>
      <c r="G16" s="167"/>
      <c r="H16" s="168"/>
      <c r="I16" s="182"/>
      <c r="J16" s="168"/>
      <c r="K16" s="136"/>
      <c r="L16" s="136"/>
    </row>
    <row r="17" spans="1:17" ht="15" thickBot="1">
      <c r="A17" s="183"/>
      <c r="B17" s="184" t="s">
        <v>75</v>
      </c>
      <c r="C17" s="184"/>
      <c r="D17" s="185"/>
      <c r="E17" s="185"/>
      <c r="F17" s="186"/>
      <c r="G17" s="185"/>
      <c r="H17" s="187"/>
      <c r="I17" s="188"/>
      <c r="J17" s="189">
        <f>SUM(J9:J15)</f>
        <v>0</v>
      </c>
      <c r="K17" s="136"/>
      <c r="L17" s="136"/>
    </row>
    <row r="18" spans="1:17" ht="15" thickTop="1">
      <c r="A18" s="190"/>
      <c r="B18" s="191"/>
      <c r="C18" s="191"/>
      <c r="D18" s="192"/>
      <c r="E18" s="192"/>
      <c r="F18" s="165"/>
      <c r="G18" s="192"/>
      <c r="H18" s="193"/>
      <c r="I18" s="182"/>
      <c r="J18" s="194"/>
      <c r="K18" s="136"/>
      <c r="L18" s="136" t="s">
        <v>221</v>
      </c>
      <c r="N18" t="s">
        <v>239</v>
      </c>
      <c r="P18" t="s">
        <v>238</v>
      </c>
      <c r="Q18" s="450" t="s">
        <v>394</v>
      </c>
    </row>
    <row r="19" spans="1:17" ht="14.25">
      <c r="A19" s="190"/>
      <c r="B19" s="191"/>
      <c r="C19" s="191"/>
      <c r="D19" s="192"/>
      <c r="E19" s="192"/>
      <c r="F19" s="165"/>
      <c r="G19" s="192"/>
      <c r="H19" s="193"/>
      <c r="I19" s="182"/>
      <c r="J19" s="194"/>
      <c r="K19" s="136"/>
      <c r="L19" s="136" t="s">
        <v>240</v>
      </c>
      <c r="N19">
        <v>311.7</v>
      </c>
      <c r="P19">
        <v>235.4</v>
      </c>
      <c r="Q19">
        <v>138.75</v>
      </c>
    </row>
    <row r="20" spans="1:17" ht="15">
      <c r="A20" s="195" t="s">
        <v>61</v>
      </c>
      <c r="B20" s="196" t="s">
        <v>76</v>
      </c>
      <c r="C20" s="196"/>
      <c r="D20" s="160"/>
      <c r="E20" s="160"/>
      <c r="F20" s="170"/>
      <c r="G20" s="171"/>
      <c r="H20" s="197"/>
      <c r="I20" s="180"/>
      <c r="J20" s="198"/>
      <c r="K20" s="136"/>
      <c r="L20" s="136"/>
    </row>
    <row r="21" spans="1:17" ht="15">
      <c r="A21" s="195"/>
      <c r="B21" s="453" t="s">
        <v>452</v>
      </c>
      <c r="C21" s="196"/>
      <c r="D21" s="160"/>
      <c r="E21" s="160"/>
      <c r="F21" s="170"/>
      <c r="G21" s="171"/>
      <c r="H21" s="197"/>
      <c r="I21" s="180"/>
      <c r="J21" s="198"/>
      <c r="K21" s="136"/>
      <c r="L21" s="136"/>
    </row>
    <row r="22" spans="1:17" ht="51">
      <c r="A22" s="203" t="s">
        <v>61</v>
      </c>
      <c r="B22" s="204" t="s">
        <v>22</v>
      </c>
      <c r="C22" s="205"/>
      <c r="D22" s="206"/>
      <c r="E22" s="206"/>
      <c r="F22" s="207"/>
      <c r="G22" s="208"/>
      <c r="H22" s="209"/>
      <c r="I22" s="180"/>
      <c r="J22" s="194"/>
      <c r="K22" s="136"/>
      <c r="L22" s="136"/>
    </row>
    <row r="23" spans="1:17" ht="15.75">
      <c r="A23" s="210"/>
      <c r="B23" s="205" t="s">
        <v>78</v>
      </c>
      <c r="C23" s="205"/>
      <c r="D23" s="211" t="s">
        <v>108</v>
      </c>
      <c r="E23" s="206"/>
      <c r="F23" s="175">
        <f>F9*1*0.95</f>
        <v>131.8125</v>
      </c>
      <c r="G23" s="208"/>
      <c r="H23" s="213"/>
      <c r="I23" s="180"/>
      <c r="J23" s="202">
        <f>F23*H23</f>
        <v>0</v>
      </c>
      <c r="K23" s="136"/>
      <c r="L23" s="136"/>
    </row>
    <row r="24" spans="1:17" ht="14.25">
      <c r="A24" s="203"/>
      <c r="B24" s="205" t="s">
        <v>79</v>
      </c>
      <c r="C24" s="205"/>
      <c r="D24" s="211" t="s">
        <v>108</v>
      </c>
      <c r="E24" s="206"/>
      <c r="F24" s="181">
        <f>F9*1*0.05</f>
        <v>6.9375</v>
      </c>
      <c r="G24" s="208"/>
      <c r="H24" s="213"/>
      <c r="I24" s="180"/>
      <c r="J24" s="202">
        <f>F24*H24</f>
        <v>0</v>
      </c>
      <c r="K24" s="136"/>
      <c r="L24" s="136"/>
    </row>
    <row r="25" spans="1:17" ht="14.25">
      <c r="A25" s="203"/>
      <c r="B25" s="173"/>
      <c r="C25" s="205"/>
      <c r="D25" s="214"/>
      <c r="E25" s="206"/>
      <c r="F25" s="207"/>
      <c r="G25" s="208"/>
      <c r="H25" s="215"/>
      <c r="I25" s="180"/>
      <c r="J25" s="194"/>
      <c r="K25" s="199"/>
      <c r="L25" s="199"/>
      <c r="N25" s="200"/>
      <c r="O25" s="200"/>
    </row>
    <row r="26" spans="1:17" ht="51">
      <c r="A26" s="172" t="s">
        <v>63</v>
      </c>
      <c r="B26" s="224" t="s">
        <v>80</v>
      </c>
      <c r="C26" s="225"/>
      <c r="D26" s="174" t="s">
        <v>108</v>
      </c>
      <c r="E26" s="160"/>
      <c r="F26" s="175">
        <f>AA11</f>
        <v>14.31</v>
      </c>
      <c r="G26" s="167"/>
      <c r="H26" s="213"/>
      <c r="I26" s="169"/>
      <c r="J26" s="202">
        <f>F26*H26</f>
        <v>0</v>
      </c>
      <c r="K26" s="200"/>
      <c r="L26" s="199"/>
      <c r="M26" s="200"/>
    </row>
    <row r="27" spans="1:17" ht="14.25">
      <c r="A27" s="172"/>
      <c r="B27" s="224"/>
      <c r="C27" s="225"/>
      <c r="D27" s="160"/>
      <c r="E27" s="160"/>
      <c r="F27" s="166"/>
      <c r="G27" s="167"/>
      <c r="H27" s="215"/>
      <c r="I27" s="169"/>
      <c r="J27" s="194"/>
      <c r="K27" s="200"/>
      <c r="L27" s="199"/>
      <c r="M27" s="200"/>
    </row>
    <row r="28" spans="1:17" ht="38.25">
      <c r="A28" s="172" t="s">
        <v>67</v>
      </c>
      <c r="B28" s="173" t="s">
        <v>24</v>
      </c>
      <c r="C28" s="225"/>
      <c r="D28" s="174" t="s">
        <v>108</v>
      </c>
      <c r="E28" s="160"/>
      <c r="F28" s="175">
        <f>Z11</f>
        <v>66.84</v>
      </c>
      <c r="G28" s="167"/>
      <c r="H28" s="213"/>
      <c r="I28" s="169"/>
      <c r="J28" s="202">
        <f>F28*H28</f>
        <v>0</v>
      </c>
      <c r="K28" s="200"/>
      <c r="L28" s="199"/>
      <c r="M28" s="200"/>
    </row>
    <row r="29" spans="1:17" ht="14.25">
      <c r="A29" s="172"/>
      <c r="B29" s="173"/>
      <c r="C29" s="225"/>
      <c r="D29" s="165"/>
      <c r="E29" s="160"/>
      <c r="F29" s="166"/>
      <c r="G29" s="167"/>
      <c r="H29" s="215"/>
      <c r="I29" s="169"/>
      <c r="J29" s="194"/>
      <c r="K29" s="200"/>
      <c r="L29" s="199"/>
      <c r="M29" s="200"/>
    </row>
    <row r="30" spans="1:17" ht="76.5">
      <c r="A30" s="172" t="s">
        <v>68</v>
      </c>
      <c r="B30" s="224" t="s">
        <v>25</v>
      </c>
      <c r="C30" s="226"/>
      <c r="D30" s="179"/>
      <c r="E30" s="179"/>
      <c r="F30" s="166"/>
      <c r="G30" s="167"/>
      <c r="H30" s="198"/>
      <c r="I30" s="163"/>
      <c r="J30" s="198"/>
      <c r="K30" s="171"/>
      <c r="L30" s="219"/>
      <c r="M30" s="200"/>
    </row>
    <row r="31" spans="1:17" ht="15">
      <c r="A31" s="172"/>
      <c r="B31" s="173" t="s">
        <v>78</v>
      </c>
      <c r="C31" s="173"/>
      <c r="D31" s="174" t="s">
        <v>108</v>
      </c>
      <c r="E31" s="160"/>
      <c r="F31" s="175">
        <f>(F23+F24-F26-F28)*0.95</f>
        <v>54.719999999999992</v>
      </c>
      <c r="G31" s="167"/>
      <c r="H31" s="213"/>
      <c r="I31" s="163"/>
      <c r="J31" s="202">
        <f>F31*H31</f>
        <v>0</v>
      </c>
      <c r="K31" s="171"/>
      <c r="L31" s="219"/>
      <c r="M31" s="200"/>
    </row>
    <row r="32" spans="1:17" ht="14.25">
      <c r="A32" s="172"/>
      <c r="B32" s="173" t="s">
        <v>79</v>
      </c>
      <c r="C32" s="173"/>
      <c r="D32" s="174" t="s">
        <v>108</v>
      </c>
      <c r="E32" s="160"/>
      <c r="F32" s="181">
        <f>(F23+F24-F26-F28)*0.05</f>
        <v>2.88</v>
      </c>
      <c r="G32" s="167"/>
      <c r="H32" s="213"/>
      <c r="I32" s="163"/>
      <c r="J32" s="202">
        <f>F32*H32</f>
        <v>0</v>
      </c>
      <c r="K32" s="199"/>
      <c r="L32" s="199"/>
      <c r="M32" s="200"/>
      <c r="N32" s="200"/>
      <c r="O32" s="200"/>
    </row>
    <row r="33" spans="1:15" ht="14.25">
      <c r="A33" s="172"/>
      <c r="B33" s="173"/>
      <c r="C33" s="173"/>
      <c r="D33" s="165"/>
      <c r="E33" s="160"/>
      <c r="F33" s="166"/>
      <c r="G33" s="167"/>
      <c r="H33" s="215"/>
      <c r="I33" s="163"/>
      <c r="J33" s="194"/>
      <c r="K33" s="199"/>
      <c r="L33" s="199"/>
      <c r="M33" s="200"/>
      <c r="N33" s="200"/>
      <c r="O33" s="200"/>
    </row>
    <row r="34" spans="1:15" ht="14.25">
      <c r="A34" s="227"/>
      <c r="B34" s="228"/>
      <c r="C34" s="228"/>
      <c r="D34" s="230"/>
      <c r="E34" s="230"/>
      <c r="F34" s="710"/>
      <c r="G34" s="192"/>
      <c r="H34" s="194"/>
      <c r="I34" s="169"/>
      <c r="J34" s="194"/>
      <c r="K34" s="199"/>
      <c r="L34" s="199"/>
      <c r="M34" s="200"/>
      <c r="N34" s="200"/>
      <c r="O34" s="200"/>
    </row>
    <row r="35" spans="1:15" ht="14.25">
      <c r="A35" s="172"/>
      <c r="B35" s="224"/>
      <c r="C35" s="226"/>
      <c r="D35" s="160"/>
      <c r="E35" s="160"/>
      <c r="F35" s="166"/>
      <c r="G35" s="167"/>
      <c r="H35" s="215"/>
      <c r="I35" s="163"/>
      <c r="J35" s="194"/>
      <c r="K35" s="199"/>
      <c r="L35" s="199"/>
      <c r="M35" s="200"/>
      <c r="N35" s="200"/>
      <c r="O35" s="200"/>
    </row>
    <row r="36" spans="1:15" ht="25.5">
      <c r="A36" s="172" t="s">
        <v>69</v>
      </c>
      <c r="B36" s="228" t="s">
        <v>27</v>
      </c>
      <c r="C36" s="226"/>
      <c r="D36" s="174" t="s">
        <v>108</v>
      </c>
      <c r="E36" s="160"/>
      <c r="F36" s="175">
        <f>F23+F24-F31-F32</f>
        <v>81.150000000000006</v>
      </c>
      <c r="G36" s="167"/>
      <c r="H36" s="213"/>
      <c r="I36" s="163"/>
      <c r="J36" s="202">
        <f>F36*H36</f>
        <v>0</v>
      </c>
      <c r="K36" s="199"/>
      <c r="L36" s="199"/>
      <c r="M36" s="200"/>
      <c r="N36" s="200"/>
      <c r="O36" s="200"/>
    </row>
    <row r="37" spans="1:15">
      <c r="A37" s="172"/>
      <c r="B37" s="228"/>
      <c r="C37" s="226"/>
      <c r="D37" s="165"/>
      <c r="E37" s="160"/>
      <c r="F37" s="166"/>
      <c r="G37" s="167"/>
      <c r="H37" s="215"/>
      <c r="I37" s="163"/>
      <c r="J37" s="194"/>
      <c r="K37" s="217"/>
      <c r="L37" s="200"/>
      <c r="M37" s="200"/>
      <c r="N37" s="200"/>
      <c r="O37" s="200"/>
    </row>
    <row r="38" spans="1:15" ht="13.5" thickBot="1">
      <c r="A38" s="183"/>
      <c r="B38" s="232" t="s">
        <v>28</v>
      </c>
      <c r="C38" s="232"/>
      <c r="D38" s="233"/>
      <c r="E38" s="233"/>
      <c r="F38" s="234"/>
      <c r="G38" s="235"/>
      <c r="H38" s="189"/>
      <c r="I38" s="236"/>
      <c r="J38" s="189">
        <f>SUM(J22:J37)</f>
        <v>0</v>
      </c>
      <c r="K38" s="217"/>
      <c r="L38" s="200"/>
      <c r="M38" s="200"/>
      <c r="N38" s="200"/>
      <c r="O38" s="200"/>
    </row>
    <row r="39" spans="1:15" ht="13.5" thickTop="1">
      <c r="A39" s="190"/>
      <c r="B39" s="237"/>
      <c r="C39" s="237"/>
      <c r="D39" s="238"/>
      <c r="E39" s="238"/>
      <c r="F39" s="166"/>
      <c r="G39" s="167"/>
      <c r="H39" s="194"/>
      <c r="I39" s="169"/>
      <c r="J39" s="194"/>
      <c r="K39" s="217"/>
      <c r="L39" s="200"/>
      <c r="M39" s="200"/>
      <c r="N39" s="200"/>
      <c r="O39" s="200"/>
    </row>
    <row r="40" spans="1:15">
      <c r="A40" s="190"/>
      <c r="B40" s="237"/>
      <c r="C40" s="237"/>
      <c r="D40" s="238"/>
      <c r="E40" s="238"/>
      <c r="F40" s="166"/>
      <c r="G40" s="167"/>
      <c r="H40" s="194"/>
      <c r="I40" s="169"/>
      <c r="J40" s="194"/>
      <c r="K40" s="217"/>
      <c r="L40" s="200"/>
      <c r="M40" s="200"/>
      <c r="N40" s="200"/>
      <c r="O40" s="200"/>
    </row>
    <row r="41" spans="1:15" ht="15">
      <c r="A41" s="195" t="s">
        <v>63</v>
      </c>
      <c r="B41" s="239" t="s">
        <v>29</v>
      </c>
      <c r="C41" s="239"/>
      <c r="D41" s="160"/>
      <c r="E41" s="160"/>
      <c r="F41" s="170"/>
      <c r="G41" s="171"/>
      <c r="H41" s="198"/>
      <c r="I41" s="163"/>
      <c r="J41" s="198"/>
      <c r="K41" s="217"/>
      <c r="L41" s="200"/>
      <c r="M41" s="200"/>
      <c r="N41" s="200"/>
      <c r="O41" s="200"/>
    </row>
    <row r="42" spans="1:15" ht="15">
      <c r="A42" s="195"/>
      <c r="B42" s="239"/>
      <c r="C42" s="239"/>
      <c r="D42" s="160"/>
      <c r="E42" s="160"/>
      <c r="F42" s="170"/>
      <c r="G42" s="171"/>
      <c r="H42" s="198"/>
      <c r="I42" s="163"/>
      <c r="J42" s="198"/>
      <c r="K42" s="217"/>
      <c r="L42" s="200"/>
      <c r="M42" s="200"/>
    </row>
    <row r="43" spans="1:15" ht="38.25">
      <c r="A43" s="172" t="s">
        <v>58</v>
      </c>
      <c r="B43" s="226" t="s">
        <v>396</v>
      </c>
      <c r="C43" s="226"/>
      <c r="D43" s="174" t="s">
        <v>60</v>
      </c>
      <c r="E43" s="160"/>
      <c r="F43" s="240">
        <f>Q19</f>
        <v>138.75</v>
      </c>
      <c r="G43" s="223"/>
      <c r="H43" s="213"/>
      <c r="I43" s="163"/>
      <c r="J43" s="202">
        <f>F43*H43</f>
        <v>0</v>
      </c>
      <c r="K43" s="217"/>
      <c r="L43" s="200"/>
      <c r="M43" s="200"/>
      <c r="N43" s="200"/>
      <c r="O43" s="200"/>
    </row>
    <row r="44" spans="1:15">
      <c r="A44" s="172"/>
      <c r="B44" s="226"/>
      <c r="C44" s="226"/>
      <c r="D44" s="160"/>
      <c r="E44" s="160"/>
      <c r="F44" s="170"/>
      <c r="G44" s="171"/>
      <c r="H44" s="198"/>
      <c r="I44" s="163"/>
      <c r="J44" s="198"/>
      <c r="K44" s="217"/>
      <c r="L44" s="200"/>
      <c r="M44" s="200"/>
      <c r="N44" s="200"/>
      <c r="O44" s="200"/>
    </row>
    <row r="45" spans="1:15">
      <c r="A45" s="172"/>
      <c r="B45" s="226"/>
      <c r="C45" s="226"/>
      <c r="D45" s="160"/>
      <c r="E45" s="160"/>
      <c r="F45" s="170"/>
      <c r="G45" s="171"/>
      <c r="H45" s="198"/>
      <c r="I45" s="163"/>
      <c r="J45" s="198"/>
      <c r="K45" s="217"/>
      <c r="L45" s="200"/>
      <c r="M45" s="200"/>
      <c r="N45" s="200"/>
      <c r="O45" s="200"/>
    </row>
    <row r="46" spans="1:15" ht="51">
      <c r="A46" s="172" t="s">
        <v>63</v>
      </c>
      <c r="B46" s="241" t="s">
        <v>398</v>
      </c>
      <c r="C46" s="241"/>
      <c r="D46" s="165"/>
      <c r="E46" s="165"/>
      <c r="F46" s="166"/>
      <c r="G46" s="167"/>
      <c r="H46" s="198"/>
      <c r="I46" s="163"/>
      <c r="J46" s="198"/>
      <c r="K46" s="217"/>
      <c r="L46" s="200"/>
      <c r="M46" s="200"/>
      <c r="N46" s="200"/>
      <c r="O46" s="200"/>
    </row>
    <row r="47" spans="1:15">
      <c r="A47" s="172"/>
      <c r="B47" s="241"/>
      <c r="C47" s="241"/>
      <c r="D47" s="174" t="s">
        <v>190</v>
      </c>
      <c r="E47" s="165"/>
      <c r="F47" s="175">
        <f>R13</f>
        <v>3</v>
      </c>
      <c r="G47" s="167"/>
      <c r="H47" s="213"/>
      <c r="I47" s="163"/>
      <c r="J47" s="202">
        <f>F47*H47</f>
        <v>0</v>
      </c>
      <c r="K47" s="217"/>
      <c r="L47" s="200"/>
      <c r="M47" s="200"/>
      <c r="N47" s="200"/>
      <c r="O47" s="200"/>
    </row>
    <row r="48" spans="1:15">
      <c r="A48" s="172"/>
      <c r="B48" s="241"/>
      <c r="C48" s="241"/>
      <c r="D48" s="160"/>
      <c r="E48" s="160"/>
      <c r="F48" s="170"/>
      <c r="G48" s="171"/>
      <c r="H48" s="198"/>
      <c r="I48" s="163"/>
      <c r="J48" s="198"/>
      <c r="K48" s="217"/>
      <c r="L48" s="200"/>
      <c r="M48" s="200"/>
      <c r="N48" s="200"/>
      <c r="O48" s="200"/>
    </row>
    <row r="49" spans="1:15" ht="51">
      <c r="A49" s="172" t="s">
        <v>67</v>
      </c>
      <c r="B49" s="241" t="s">
        <v>397</v>
      </c>
      <c r="C49" s="241"/>
      <c r="D49" s="165"/>
      <c r="E49" s="165"/>
      <c r="F49" s="166"/>
      <c r="G49" s="167"/>
      <c r="H49" s="198"/>
      <c r="I49" s="163"/>
      <c r="J49" s="198"/>
      <c r="K49" s="217"/>
      <c r="L49" s="200"/>
      <c r="M49" s="200"/>
      <c r="N49" s="200"/>
      <c r="O49" s="200"/>
    </row>
    <row r="50" spans="1:15">
      <c r="A50" s="172"/>
      <c r="B50" s="241"/>
      <c r="C50" s="241"/>
      <c r="D50" s="174" t="s">
        <v>190</v>
      </c>
      <c r="E50" s="165"/>
      <c r="F50" s="175">
        <f>R14</f>
        <v>4</v>
      </c>
      <c r="G50" s="167"/>
      <c r="H50" s="213"/>
      <c r="I50" s="163"/>
      <c r="J50" s="202">
        <f>F50*H50</f>
        <v>0</v>
      </c>
      <c r="K50" s="217"/>
      <c r="L50" s="200"/>
      <c r="M50" s="200"/>
      <c r="N50" s="200"/>
      <c r="O50" s="200"/>
    </row>
    <row r="51" spans="1:15">
      <c r="A51" s="172"/>
      <c r="B51" s="241"/>
      <c r="C51" s="241"/>
      <c r="D51" s="160"/>
      <c r="E51" s="160"/>
      <c r="F51" s="170"/>
      <c r="G51" s="171"/>
      <c r="H51" s="198"/>
      <c r="I51" s="163"/>
      <c r="J51" s="198"/>
      <c r="K51" s="217"/>
      <c r="L51" s="200"/>
      <c r="M51" s="200"/>
      <c r="N51" s="200"/>
      <c r="O51" s="200"/>
    </row>
    <row r="52" spans="1:15" ht="13.5" thickBot="1">
      <c r="A52" s="243"/>
      <c r="B52" s="244" t="s">
        <v>30</v>
      </c>
      <c r="C52" s="244"/>
      <c r="D52" s="186"/>
      <c r="E52" s="186"/>
      <c r="F52" s="234"/>
      <c r="G52" s="235"/>
      <c r="H52" s="189"/>
      <c r="I52" s="236"/>
      <c r="J52" s="189">
        <f>SUM(J43:J50)</f>
        <v>0</v>
      </c>
      <c r="K52" s="217"/>
      <c r="L52" s="200"/>
      <c r="M52" s="200"/>
      <c r="N52" s="200"/>
      <c r="O52" s="200"/>
    </row>
    <row r="53" spans="1:15" ht="13.5" thickTop="1">
      <c r="A53" s="245"/>
      <c r="B53" s="246"/>
      <c r="C53" s="246"/>
      <c r="D53" s="165"/>
      <c r="E53" s="165"/>
      <c r="F53" s="166"/>
      <c r="G53" s="167"/>
      <c r="H53" s="194"/>
      <c r="I53" s="169"/>
      <c r="J53" s="194"/>
      <c r="K53" s="242"/>
    </row>
    <row r="54" spans="1:15" ht="15.75">
      <c r="A54" s="247" t="s">
        <v>67</v>
      </c>
      <c r="B54" s="248" t="s">
        <v>31</v>
      </c>
      <c r="C54" s="248"/>
      <c r="D54" s="192"/>
      <c r="E54" s="192"/>
      <c r="F54" s="166"/>
      <c r="G54" s="167"/>
      <c r="H54" s="150"/>
      <c r="I54" s="163"/>
      <c r="J54" s="198"/>
      <c r="K54" s="242"/>
    </row>
    <row r="55" spans="1:15">
      <c r="A55" s="172"/>
      <c r="B55" s="249"/>
      <c r="C55" s="249"/>
      <c r="D55" s="250"/>
      <c r="E55" s="250"/>
      <c r="F55" s="170"/>
      <c r="G55" s="171"/>
      <c r="H55" s="150"/>
      <c r="I55" s="163"/>
      <c r="J55" s="198"/>
      <c r="K55" s="242"/>
    </row>
    <row r="56" spans="1:15" ht="25.5">
      <c r="A56" s="172" t="s">
        <v>58</v>
      </c>
      <c r="B56" s="173" t="s">
        <v>32</v>
      </c>
      <c r="C56" s="173"/>
      <c r="D56" s="251" t="s">
        <v>60</v>
      </c>
      <c r="E56" s="179"/>
      <c r="F56" s="175">
        <f>F9</f>
        <v>138.75</v>
      </c>
      <c r="G56" s="167"/>
      <c r="H56" s="213"/>
      <c r="I56" s="163"/>
      <c r="J56" s="202">
        <f>F56*H56</f>
        <v>0</v>
      </c>
      <c r="K56" s="242"/>
    </row>
    <row r="57" spans="1:15">
      <c r="A57" s="172"/>
      <c r="B57" s="173"/>
      <c r="C57" s="173"/>
      <c r="D57" s="179"/>
      <c r="E57" s="179"/>
      <c r="F57" s="170"/>
      <c r="G57" s="171"/>
      <c r="H57" s="150"/>
      <c r="I57" s="163"/>
      <c r="J57" s="198"/>
      <c r="K57" s="242"/>
    </row>
    <row r="58" spans="1:15">
      <c r="A58" s="172" t="s">
        <v>67</v>
      </c>
      <c r="B58" s="173" t="s">
        <v>33</v>
      </c>
      <c r="C58" s="173"/>
      <c r="D58" s="251" t="s">
        <v>60</v>
      </c>
      <c r="E58" s="179"/>
      <c r="F58" s="175">
        <f>F9</f>
        <v>138.75</v>
      </c>
      <c r="G58" s="167"/>
      <c r="H58" s="213"/>
      <c r="I58" s="163"/>
      <c r="J58" s="202">
        <f>F58*H58</f>
        <v>0</v>
      </c>
      <c r="K58" s="242"/>
    </row>
    <row r="59" spans="1:15">
      <c r="A59" s="172"/>
      <c r="B59" s="173"/>
      <c r="C59" s="173"/>
      <c r="D59" s="179"/>
      <c r="E59" s="179"/>
      <c r="F59" s="170"/>
      <c r="G59" s="171"/>
      <c r="H59" s="150"/>
      <c r="I59" s="163"/>
      <c r="J59" s="198"/>
      <c r="K59" s="242"/>
    </row>
    <row r="60" spans="1:15">
      <c r="A60" s="172" t="s">
        <v>68</v>
      </c>
      <c r="B60" s="173" t="s">
        <v>34</v>
      </c>
      <c r="C60" s="173"/>
      <c r="D60" s="251" t="s">
        <v>190</v>
      </c>
      <c r="E60" s="179"/>
      <c r="F60" s="175">
        <f>F47+F50</f>
        <v>7</v>
      </c>
      <c r="G60" s="167"/>
      <c r="H60" s="213"/>
      <c r="I60" s="163"/>
      <c r="J60" s="202">
        <f>F60*H60</f>
        <v>0</v>
      </c>
      <c r="K60" s="242"/>
    </row>
    <row r="61" spans="1:15">
      <c r="A61" s="172"/>
      <c r="B61" s="173"/>
      <c r="C61" s="173"/>
      <c r="D61" s="179"/>
      <c r="E61" s="179"/>
      <c r="F61" s="170"/>
      <c r="G61" s="171"/>
      <c r="H61" s="150"/>
      <c r="I61" s="163"/>
      <c r="J61" s="198"/>
      <c r="K61" s="242"/>
    </row>
    <row r="62" spans="1:15" ht="25.5">
      <c r="A62" s="172" t="s">
        <v>69</v>
      </c>
      <c r="B62" s="173" t="s">
        <v>35</v>
      </c>
      <c r="C62" s="173"/>
      <c r="D62" s="251" t="s">
        <v>60</v>
      </c>
      <c r="E62" s="179"/>
      <c r="F62" s="175">
        <f>F9</f>
        <v>138.75</v>
      </c>
      <c r="G62" s="167"/>
      <c r="H62" s="213"/>
      <c r="I62" s="163"/>
      <c r="J62" s="202">
        <f>F62*H62</f>
        <v>0</v>
      </c>
      <c r="K62" s="242"/>
    </row>
    <row r="63" spans="1:15">
      <c r="A63" s="172"/>
      <c r="B63" s="173"/>
      <c r="C63" s="173"/>
      <c r="D63" s="179"/>
      <c r="E63" s="179"/>
      <c r="F63" s="170"/>
      <c r="G63" s="171"/>
      <c r="H63" s="150"/>
      <c r="I63" s="163"/>
      <c r="J63" s="198"/>
      <c r="K63" s="242"/>
    </row>
    <row r="64" spans="1:15" ht="13.5" thickBot="1">
      <c r="A64" s="183"/>
      <c r="B64" s="252" t="s">
        <v>36</v>
      </c>
      <c r="C64" s="252"/>
      <c r="D64" s="253"/>
      <c r="E64" s="253"/>
      <c r="F64" s="234"/>
      <c r="G64" s="235"/>
      <c r="H64" s="254"/>
      <c r="I64" s="236"/>
      <c r="J64" s="189">
        <f>SUM(J56:J63)</f>
        <v>0</v>
      </c>
      <c r="K64" s="242"/>
    </row>
    <row r="65" spans="1:18" ht="13.5" thickTop="1">
      <c r="A65" s="190"/>
      <c r="B65" s="255"/>
      <c r="C65" s="255"/>
      <c r="D65" s="256"/>
      <c r="E65" s="256"/>
      <c r="F65" s="166"/>
      <c r="G65" s="167"/>
      <c r="H65" s="168"/>
      <c r="I65" s="169"/>
      <c r="J65" s="194"/>
      <c r="K65" s="242"/>
    </row>
    <row r="66" spans="1:18">
      <c r="A66" s="190"/>
      <c r="B66" s="255"/>
      <c r="C66" s="255"/>
      <c r="D66" s="256"/>
      <c r="E66" s="256"/>
      <c r="F66" s="166"/>
      <c r="G66" s="167"/>
      <c r="H66" s="168"/>
      <c r="I66" s="169"/>
      <c r="J66" s="194"/>
      <c r="K66" s="242"/>
    </row>
    <row r="67" spans="1:18">
      <c r="A67" s="190"/>
      <c r="B67" s="255"/>
      <c r="C67" s="255"/>
      <c r="D67" s="256"/>
      <c r="E67" s="256"/>
      <c r="F67" s="166"/>
      <c r="G67" s="167"/>
      <c r="H67" s="150"/>
      <c r="I67" s="163"/>
      <c r="J67" s="198"/>
      <c r="K67" s="242"/>
    </row>
    <row r="68" spans="1:18">
      <c r="A68" s="190"/>
      <c r="B68" s="255"/>
      <c r="C68" s="255"/>
      <c r="D68" s="256"/>
      <c r="E68" s="256"/>
      <c r="F68" s="166"/>
      <c r="G68" s="167"/>
      <c r="H68" s="150"/>
      <c r="I68" s="163"/>
      <c r="J68" s="198"/>
      <c r="K68" s="242"/>
    </row>
    <row r="69" spans="1:18">
      <c r="A69" s="190"/>
      <c r="B69" s="255"/>
      <c r="C69" s="255"/>
      <c r="D69" s="256"/>
      <c r="E69" s="256"/>
      <c r="F69" s="166"/>
      <c r="G69" s="167"/>
      <c r="H69" s="150"/>
      <c r="I69" s="163"/>
      <c r="J69" s="198"/>
      <c r="K69" s="242"/>
    </row>
    <row r="70" spans="1:18">
      <c r="A70" s="190"/>
      <c r="B70" s="255"/>
      <c r="C70" s="255"/>
      <c r="D70" s="256"/>
      <c r="E70" s="256"/>
      <c r="F70" s="166"/>
      <c r="G70" s="167"/>
      <c r="H70" s="150"/>
      <c r="I70" s="163"/>
      <c r="J70" s="198"/>
      <c r="K70" s="242"/>
    </row>
    <row r="71" spans="1:18">
      <c r="A71" s="190"/>
      <c r="B71" s="255"/>
      <c r="C71" s="255"/>
      <c r="D71" s="256"/>
      <c r="E71" s="256"/>
      <c r="F71" s="166"/>
      <c r="G71" s="167"/>
      <c r="H71" s="150"/>
      <c r="I71" s="163"/>
      <c r="J71" s="198"/>
      <c r="K71" s="242"/>
    </row>
    <row r="72" spans="1:18">
      <c r="A72" s="190"/>
      <c r="B72" s="255"/>
      <c r="C72" s="255"/>
      <c r="D72" s="256"/>
      <c r="E72" s="256"/>
      <c r="F72" s="166"/>
      <c r="G72" s="167"/>
      <c r="H72" s="150"/>
      <c r="I72" s="163"/>
      <c r="J72" s="198"/>
      <c r="K72" s="242"/>
    </row>
    <row r="73" spans="1:18">
      <c r="A73" s="190"/>
      <c r="B73" s="255"/>
      <c r="C73" s="255"/>
      <c r="D73" s="256"/>
      <c r="E73" s="256"/>
      <c r="F73" s="166"/>
      <c r="G73" s="167"/>
      <c r="H73" s="150"/>
      <c r="I73" s="163"/>
      <c r="J73" s="198"/>
      <c r="K73" s="242"/>
    </row>
    <row r="74" spans="1:18">
      <c r="A74" s="172"/>
      <c r="B74" s="258"/>
      <c r="C74" s="258"/>
      <c r="D74" s="257"/>
      <c r="E74" s="257"/>
      <c r="F74" s="170"/>
      <c r="G74" s="171"/>
      <c r="H74" s="150"/>
      <c r="I74" s="163"/>
      <c r="J74" s="198"/>
      <c r="K74" s="242"/>
    </row>
    <row r="75" spans="1:18">
      <c r="B75" s="242"/>
      <c r="C75" s="242"/>
      <c r="D75" s="242"/>
      <c r="E75" s="242"/>
      <c r="F75" s="206"/>
      <c r="G75" s="242"/>
      <c r="H75" s="260"/>
      <c r="I75" s="261"/>
      <c r="J75" s="262"/>
      <c r="K75" s="242"/>
    </row>
    <row r="76" spans="1:18">
      <c r="B76" s="242"/>
      <c r="C76" s="242"/>
      <c r="D76" s="242"/>
      <c r="E76" s="242"/>
      <c r="F76" s="206"/>
      <c r="G76" s="242"/>
      <c r="H76" s="260"/>
      <c r="I76" s="261"/>
      <c r="J76" s="262"/>
      <c r="K76" s="242"/>
    </row>
    <row r="77" spans="1:18">
      <c r="B77" s="242"/>
      <c r="C77" s="242"/>
      <c r="D77" s="242"/>
      <c r="E77" s="242"/>
      <c r="F77" s="206"/>
      <c r="G77" s="242"/>
      <c r="H77" s="260"/>
      <c r="I77" s="261"/>
      <c r="J77" s="262"/>
      <c r="K77" s="242"/>
    </row>
    <row r="78" spans="1:18">
      <c r="B78" s="242"/>
      <c r="C78" s="242"/>
      <c r="D78" s="242"/>
      <c r="E78" s="242"/>
      <c r="F78" s="206"/>
      <c r="G78" s="242"/>
      <c r="H78" s="260"/>
      <c r="I78" s="261"/>
      <c r="J78" s="262"/>
      <c r="K78" s="242"/>
    </row>
    <row r="79" spans="1:18">
      <c r="B79" s="242"/>
      <c r="C79" s="242"/>
      <c r="D79" s="242"/>
      <c r="E79" s="242"/>
      <c r="F79" s="206"/>
      <c r="G79" s="242"/>
      <c r="H79" s="260"/>
      <c r="I79" s="261"/>
      <c r="J79" s="262"/>
      <c r="K79" s="242"/>
      <c r="Q79" s="259"/>
      <c r="R79" s="259"/>
    </row>
    <row r="80" spans="1:18">
      <c r="B80" s="242"/>
      <c r="C80" s="242"/>
      <c r="D80" s="242"/>
      <c r="E80" s="242"/>
      <c r="F80" s="206"/>
      <c r="G80" s="242"/>
      <c r="H80" s="260"/>
      <c r="I80" s="261"/>
      <c r="J80" s="262"/>
      <c r="K80" s="242"/>
      <c r="Q80" s="259"/>
      <c r="R80" s="259"/>
    </row>
    <row r="81" spans="2:18">
      <c r="B81" s="242"/>
      <c r="C81" s="242"/>
      <c r="D81" s="242"/>
      <c r="E81" s="242"/>
      <c r="F81" s="206"/>
      <c r="G81" s="242"/>
      <c r="H81" s="260"/>
      <c r="I81" s="261"/>
      <c r="J81" s="262"/>
      <c r="K81" s="242"/>
      <c r="Q81" s="259"/>
      <c r="R81" s="259"/>
    </row>
    <row r="82" spans="2:18">
      <c r="B82" s="242"/>
      <c r="C82" s="242"/>
      <c r="D82" s="242"/>
      <c r="E82" s="242"/>
      <c r="F82" s="206"/>
      <c r="G82" s="242"/>
      <c r="H82" s="260"/>
      <c r="I82" s="261"/>
      <c r="J82" s="262"/>
      <c r="K82" s="242"/>
      <c r="Q82" s="259"/>
      <c r="R82" s="259"/>
    </row>
    <row r="83" spans="2:18">
      <c r="B83" s="242"/>
      <c r="C83" s="242"/>
      <c r="D83" s="242"/>
      <c r="E83" s="242"/>
      <c r="F83" s="206"/>
      <c r="G83" s="242"/>
      <c r="H83" s="260"/>
      <c r="I83" s="261"/>
      <c r="J83" s="262"/>
      <c r="K83" s="242"/>
      <c r="Q83" s="259"/>
      <c r="R83" s="259"/>
    </row>
    <row r="84" spans="2:18">
      <c r="B84" s="242"/>
      <c r="C84" s="242"/>
      <c r="D84" s="242"/>
      <c r="E84" s="242"/>
      <c r="F84" s="206"/>
      <c r="G84" s="242"/>
      <c r="H84" s="260"/>
      <c r="I84" s="261"/>
      <c r="J84" s="262"/>
      <c r="K84" s="242"/>
      <c r="Q84" s="259"/>
      <c r="R84" s="259"/>
    </row>
    <row r="85" spans="2:18">
      <c r="B85" s="242"/>
      <c r="C85" s="242"/>
      <c r="D85" s="242"/>
      <c r="E85" s="242"/>
      <c r="F85" s="206"/>
      <c r="G85" s="242"/>
      <c r="H85" s="260"/>
      <c r="I85" s="261"/>
      <c r="J85" s="262"/>
      <c r="K85" s="242"/>
      <c r="Q85" s="259"/>
      <c r="R85" s="259"/>
    </row>
    <row r="86" spans="2:18">
      <c r="B86" s="242"/>
      <c r="C86" s="242"/>
      <c r="D86" s="242"/>
      <c r="E86" s="242"/>
      <c r="F86" s="206"/>
      <c r="G86" s="242"/>
      <c r="H86" s="260"/>
      <c r="I86" s="261"/>
      <c r="J86" s="262"/>
      <c r="K86" s="242"/>
      <c r="Q86" s="259"/>
      <c r="R86" s="259"/>
    </row>
    <row r="87" spans="2:18">
      <c r="B87" s="242"/>
      <c r="C87" s="242"/>
      <c r="D87" s="242"/>
      <c r="E87" s="242"/>
      <c r="F87" s="206"/>
      <c r="G87" s="242"/>
      <c r="H87" s="260"/>
      <c r="I87" s="261"/>
      <c r="J87" s="262"/>
      <c r="K87" s="242"/>
      <c r="Q87" s="259"/>
      <c r="R87" s="259"/>
    </row>
    <row r="88" spans="2:18">
      <c r="B88" s="242"/>
      <c r="C88" s="242"/>
      <c r="D88" s="242"/>
      <c r="E88" s="242"/>
      <c r="F88" s="206"/>
      <c r="G88" s="242"/>
      <c r="H88" s="260"/>
      <c r="I88" s="261"/>
      <c r="J88" s="262"/>
      <c r="K88" s="242"/>
      <c r="Q88" s="259"/>
      <c r="R88" s="259"/>
    </row>
    <row r="89" spans="2:18">
      <c r="B89" s="242"/>
      <c r="C89" s="242"/>
      <c r="D89" s="242"/>
      <c r="E89" s="242"/>
      <c r="F89" s="206"/>
      <c r="G89" s="242"/>
      <c r="H89" s="260"/>
      <c r="I89" s="261"/>
      <c r="J89" s="262"/>
      <c r="K89" s="263"/>
      <c r="L89" s="263"/>
      <c r="M89" s="264"/>
      <c r="Q89" s="259"/>
      <c r="R89" s="259"/>
    </row>
    <row r="90" spans="2:18">
      <c r="B90" s="242"/>
      <c r="C90" s="242"/>
      <c r="D90" s="242"/>
      <c r="E90" s="242"/>
      <c r="F90" s="206"/>
      <c r="G90" s="242"/>
      <c r="H90" s="260"/>
      <c r="I90" s="261"/>
      <c r="J90" s="262"/>
      <c r="K90" s="265"/>
      <c r="L90" s="265"/>
      <c r="M90" s="264"/>
    </row>
    <row r="91" spans="2:18">
      <c r="B91" s="242"/>
      <c r="C91" s="242"/>
      <c r="D91" s="242"/>
      <c r="E91" s="242"/>
      <c r="F91" s="206"/>
      <c r="G91" s="242"/>
      <c r="H91" s="260"/>
      <c r="I91" s="261"/>
      <c r="J91" s="262"/>
      <c r="K91" s="261"/>
      <c r="L91" s="261"/>
      <c r="M91" s="264"/>
    </row>
    <row r="92" spans="2:18">
      <c r="B92" s="242"/>
      <c r="C92" s="242"/>
      <c r="D92" s="242"/>
      <c r="E92" s="242"/>
      <c r="F92" s="206"/>
      <c r="G92" s="242"/>
      <c r="H92" s="260"/>
      <c r="I92" s="261"/>
      <c r="J92" s="262"/>
      <c r="K92" s="242"/>
    </row>
    <row r="93" spans="2:18">
      <c r="B93" s="242"/>
      <c r="C93" s="242"/>
      <c r="D93" s="242"/>
      <c r="E93" s="242"/>
      <c r="F93" s="206"/>
      <c r="G93" s="242"/>
      <c r="H93" s="260"/>
      <c r="I93" s="261"/>
      <c r="J93" s="262"/>
      <c r="K93" s="242"/>
    </row>
    <row r="94" spans="2:18">
      <c r="B94" s="242"/>
      <c r="C94" s="242"/>
      <c r="D94" s="242"/>
      <c r="E94" s="242"/>
      <c r="F94" s="206"/>
      <c r="G94" s="242"/>
      <c r="H94" s="260"/>
      <c r="I94" s="261"/>
      <c r="J94" s="262"/>
      <c r="K94" s="242"/>
    </row>
    <row r="95" spans="2:18">
      <c r="B95" s="242"/>
      <c r="C95" s="242"/>
      <c r="D95" s="242"/>
      <c r="E95" s="242"/>
      <c r="F95" s="206"/>
      <c r="G95" s="242"/>
      <c r="H95" s="260"/>
      <c r="I95" s="261"/>
      <c r="J95" s="262"/>
      <c r="K95" s="242"/>
    </row>
    <row r="96" spans="2:18">
      <c r="B96" s="242"/>
      <c r="C96" s="242"/>
      <c r="D96" s="242"/>
      <c r="E96" s="242"/>
      <c r="F96" s="206"/>
      <c r="G96" s="242"/>
      <c r="H96" s="260"/>
      <c r="I96" s="261"/>
      <c r="J96" s="262"/>
      <c r="K96" s="242"/>
    </row>
    <row r="97" spans="2:11">
      <c r="B97" s="242"/>
      <c r="C97" s="242"/>
      <c r="D97" s="242"/>
      <c r="E97" s="242"/>
      <c r="F97" s="206"/>
      <c r="G97" s="242"/>
      <c r="H97" s="260"/>
      <c r="I97" s="261"/>
      <c r="J97" s="262"/>
      <c r="K97" s="242"/>
    </row>
    <row r="98" spans="2:11">
      <c r="B98" s="242"/>
      <c r="C98" s="242"/>
      <c r="D98" s="242"/>
      <c r="E98" s="242"/>
      <c r="F98" s="206"/>
      <c r="G98" s="242"/>
      <c r="H98" s="260"/>
      <c r="I98" s="261"/>
      <c r="J98" s="262"/>
      <c r="K98" s="242"/>
    </row>
    <row r="99" spans="2:11">
      <c r="B99" s="242"/>
      <c r="C99" s="242"/>
      <c r="D99" s="242"/>
      <c r="E99" s="242"/>
      <c r="F99" s="206"/>
      <c r="G99" s="242"/>
      <c r="H99" s="260"/>
      <c r="I99" s="261"/>
      <c r="J99" s="262"/>
      <c r="K99" s="242"/>
    </row>
    <row r="100" spans="2:11">
      <c r="B100" s="242"/>
      <c r="C100" s="242"/>
      <c r="D100" s="242"/>
      <c r="E100" s="242"/>
      <c r="F100" s="206"/>
      <c r="G100" s="242"/>
      <c r="H100" s="260"/>
      <c r="I100" s="261"/>
      <c r="J100" s="262"/>
      <c r="K100" s="242"/>
    </row>
    <row r="101" spans="2:11">
      <c r="B101" s="242"/>
      <c r="C101" s="242"/>
      <c r="D101" s="242"/>
      <c r="E101" s="242"/>
      <c r="F101" s="206"/>
      <c r="G101" s="242"/>
      <c r="H101" s="260"/>
      <c r="I101" s="261"/>
      <c r="J101" s="262"/>
      <c r="K101" s="242"/>
    </row>
    <row r="102" spans="2:11">
      <c r="B102" s="242"/>
      <c r="C102" s="242"/>
      <c r="D102" s="242"/>
      <c r="E102" s="242"/>
      <c r="F102" s="206"/>
      <c r="G102" s="242"/>
      <c r="H102" s="260"/>
      <c r="I102" s="261"/>
      <c r="J102" s="262"/>
      <c r="K102" s="242"/>
    </row>
    <row r="103" spans="2:11">
      <c r="B103" s="242"/>
      <c r="C103" s="242"/>
      <c r="D103" s="242"/>
      <c r="E103" s="242"/>
      <c r="F103" s="206"/>
      <c r="G103" s="242"/>
      <c r="H103" s="260"/>
      <c r="I103" s="261"/>
      <c r="J103" s="262"/>
      <c r="K103" s="242"/>
    </row>
    <row r="104" spans="2:11">
      <c r="B104" s="242"/>
      <c r="C104" s="242"/>
      <c r="D104" s="242"/>
      <c r="E104" s="242"/>
      <c r="F104" s="206"/>
      <c r="G104" s="242"/>
      <c r="H104" s="260"/>
      <c r="I104" s="261"/>
      <c r="J104" s="262"/>
      <c r="K104" s="242"/>
    </row>
    <row r="105" spans="2:11">
      <c r="B105" s="242"/>
      <c r="C105" s="242"/>
      <c r="D105" s="242"/>
      <c r="E105" s="242"/>
      <c r="F105" s="206"/>
      <c r="G105" s="242"/>
      <c r="H105" s="260"/>
      <c r="I105" s="261"/>
      <c r="J105" s="262"/>
      <c r="K105" s="242"/>
    </row>
    <row r="106" spans="2:11">
      <c r="B106" s="242"/>
      <c r="C106" s="242"/>
      <c r="D106" s="242"/>
      <c r="E106" s="242"/>
      <c r="F106" s="206"/>
      <c r="G106" s="242"/>
      <c r="H106" s="260"/>
      <c r="I106" s="261"/>
      <c r="J106" s="262"/>
      <c r="K106" s="242"/>
    </row>
    <row r="107" spans="2:11">
      <c r="B107" s="242"/>
      <c r="C107" s="242"/>
      <c r="D107" s="242"/>
      <c r="E107" s="242"/>
      <c r="F107" s="206"/>
      <c r="G107" s="242"/>
      <c r="H107" s="260"/>
      <c r="I107" s="261"/>
      <c r="J107" s="262"/>
      <c r="K107" s="242"/>
    </row>
    <row r="108" spans="2:11">
      <c r="B108" s="242"/>
      <c r="C108" s="242"/>
      <c r="D108" s="242"/>
      <c r="E108" s="242"/>
      <c r="F108" s="206"/>
      <c r="G108" s="242"/>
      <c r="H108" s="260"/>
      <c r="I108" s="261"/>
      <c r="J108" s="262"/>
      <c r="K108" s="242"/>
    </row>
    <row r="109" spans="2:11">
      <c r="B109" s="242"/>
      <c r="C109" s="242"/>
      <c r="D109" s="242"/>
      <c r="E109" s="242"/>
      <c r="F109" s="206"/>
      <c r="G109" s="242"/>
      <c r="H109" s="260"/>
      <c r="I109" s="261"/>
      <c r="J109" s="262"/>
      <c r="K109" s="242"/>
    </row>
    <row r="110" spans="2:11">
      <c r="B110" s="242"/>
      <c r="C110" s="242"/>
      <c r="D110" s="242"/>
      <c r="E110" s="242"/>
      <c r="F110" s="206"/>
      <c r="G110" s="242"/>
      <c r="H110" s="260"/>
      <c r="I110" s="261"/>
      <c r="J110" s="262"/>
      <c r="K110" s="242"/>
    </row>
    <row r="111" spans="2:11">
      <c r="B111" s="242"/>
      <c r="C111" s="242"/>
      <c r="D111" s="242"/>
      <c r="E111" s="242"/>
      <c r="F111" s="206"/>
      <c r="G111" s="242"/>
      <c r="H111" s="260"/>
      <c r="I111" s="261"/>
      <c r="J111" s="262"/>
      <c r="K111" s="242"/>
    </row>
    <row r="112" spans="2:11">
      <c r="B112" s="242"/>
      <c r="C112" s="242"/>
      <c r="D112" s="242"/>
      <c r="E112" s="242"/>
      <c r="F112" s="206"/>
      <c r="G112" s="242"/>
      <c r="H112" s="260"/>
      <c r="I112" s="261"/>
      <c r="J112" s="262"/>
      <c r="K112" s="242"/>
    </row>
    <row r="113" spans="2:11">
      <c r="B113" s="242"/>
      <c r="C113" s="242"/>
      <c r="D113" s="242"/>
      <c r="E113" s="242"/>
      <c r="F113" s="206"/>
      <c r="G113" s="242"/>
      <c r="H113" s="260"/>
      <c r="I113" s="261"/>
      <c r="J113" s="262"/>
      <c r="K113" s="242"/>
    </row>
    <row r="114" spans="2:11">
      <c r="D114" s="242"/>
      <c r="E114" s="242"/>
      <c r="F114" s="206"/>
      <c r="G114" s="242"/>
      <c r="H114" s="260"/>
      <c r="I114" s="261"/>
      <c r="J114" s="262"/>
      <c r="K114" s="242"/>
    </row>
    <row r="115" spans="2:11">
      <c r="D115" s="242"/>
      <c r="E115" s="242"/>
      <c r="F115" s="206"/>
      <c r="G115" s="242"/>
      <c r="H115" s="260"/>
      <c r="I115" s="261"/>
      <c r="J115" s="262"/>
      <c r="K115" s="242"/>
    </row>
    <row r="116" spans="2:11">
      <c r="D116" s="242"/>
      <c r="E116" s="242"/>
      <c r="F116" s="206"/>
      <c r="G116" s="242"/>
      <c r="H116" s="260"/>
      <c r="I116" s="261"/>
      <c r="J116" s="262"/>
      <c r="K116" s="242"/>
    </row>
    <row r="117" spans="2:11">
      <c r="D117" s="242"/>
      <c r="E117" s="242"/>
      <c r="F117" s="206"/>
      <c r="G117" s="242"/>
      <c r="H117" s="260"/>
      <c r="I117" s="261"/>
      <c r="J117" s="262"/>
      <c r="K117" s="242"/>
    </row>
    <row r="118" spans="2:11">
      <c r="D118" s="242"/>
      <c r="E118" s="242"/>
      <c r="F118" s="206"/>
      <c r="G118" s="242"/>
      <c r="H118" s="260"/>
      <c r="I118" s="261"/>
      <c r="J118" s="262"/>
      <c r="K118" s="242"/>
    </row>
    <row r="119" spans="2:11">
      <c r="D119" s="242"/>
      <c r="E119" s="242"/>
      <c r="F119" s="206"/>
      <c r="G119" s="242"/>
      <c r="H119" s="260"/>
      <c r="I119" s="261"/>
      <c r="J119" s="262"/>
      <c r="K119" s="242"/>
    </row>
    <row r="120" spans="2:11">
      <c r="D120" s="242"/>
      <c r="E120" s="242"/>
      <c r="F120" s="206"/>
      <c r="G120" s="242"/>
      <c r="H120" s="260"/>
      <c r="I120" s="261"/>
      <c r="J120" s="262"/>
      <c r="K120" s="242"/>
    </row>
    <row r="121" spans="2:11">
      <c r="D121" s="242"/>
      <c r="E121" s="242"/>
      <c r="F121" s="206"/>
      <c r="G121" s="242"/>
      <c r="H121" s="260"/>
      <c r="I121" s="261"/>
      <c r="J121" s="262"/>
      <c r="K121" s="242"/>
    </row>
    <row r="122" spans="2:11">
      <c r="D122" s="242"/>
      <c r="E122" s="242"/>
      <c r="F122" s="206"/>
      <c r="G122" s="242"/>
      <c r="H122" s="260"/>
      <c r="I122" s="261"/>
      <c r="J122" s="262"/>
      <c r="K122" s="242"/>
    </row>
    <row r="123" spans="2:11">
      <c r="D123" s="242"/>
      <c r="E123" s="242"/>
      <c r="F123" s="206"/>
      <c r="G123" s="242"/>
      <c r="H123" s="260"/>
      <c r="I123" s="261"/>
      <c r="J123" s="262"/>
      <c r="K123" s="242"/>
    </row>
    <row r="124" spans="2:11">
      <c r="D124" s="242"/>
      <c r="E124" s="242"/>
      <c r="F124" s="206"/>
      <c r="G124" s="242"/>
      <c r="H124" s="260"/>
      <c r="I124" s="261"/>
      <c r="J124" s="262"/>
      <c r="K124" s="242"/>
    </row>
    <row r="125" spans="2:11">
      <c r="D125" s="242"/>
      <c r="E125" s="242"/>
      <c r="F125" s="206"/>
      <c r="G125" s="242"/>
      <c r="H125" s="260"/>
      <c r="I125" s="261"/>
      <c r="J125" s="262"/>
      <c r="K125" s="242"/>
    </row>
    <row r="126" spans="2:11">
      <c r="D126" s="242"/>
      <c r="E126" s="242"/>
      <c r="F126" s="206"/>
      <c r="G126" s="242"/>
      <c r="H126" s="260"/>
      <c r="I126" s="261"/>
      <c r="J126" s="262"/>
      <c r="K126" s="242"/>
    </row>
    <row r="127" spans="2:11">
      <c r="D127" s="242"/>
      <c r="E127" s="242"/>
      <c r="F127" s="206"/>
      <c r="G127" s="242"/>
      <c r="H127" s="260"/>
      <c r="I127" s="261"/>
      <c r="J127" s="262"/>
      <c r="K127" s="242"/>
    </row>
    <row r="128" spans="2:11">
      <c r="D128" s="242"/>
      <c r="E128" s="242"/>
      <c r="F128" s="206"/>
      <c r="G128" s="242"/>
      <c r="H128" s="260"/>
      <c r="I128" s="261"/>
      <c r="J128" s="262"/>
      <c r="K128" s="242"/>
    </row>
    <row r="129" spans="4:11">
      <c r="D129" s="242"/>
      <c r="E129" s="242"/>
      <c r="F129" s="206"/>
      <c r="G129" s="242"/>
      <c r="H129" s="260"/>
      <c r="I129" s="261"/>
      <c r="J129" s="262"/>
      <c r="K129" s="242"/>
    </row>
    <row r="130" spans="4:11">
      <c r="D130" s="242"/>
      <c r="E130" s="242"/>
      <c r="F130" s="206"/>
      <c r="G130" s="242"/>
      <c r="H130" s="260"/>
      <c r="I130" s="261"/>
      <c r="J130" s="262"/>
      <c r="K130" s="242"/>
    </row>
    <row r="131" spans="4:11">
      <c r="D131" s="242"/>
      <c r="E131" s="242"/>
      <c r="F131" s="206"/>
      <c r="G131" s="242"/>
      <c r="H131" s="260"/>
      <c r="I131" s="261"/>
      <c r="J131" s="262"/>
    </row>
    <row r="132" spans="4:11">
      <c r="D132" s="242"/>
      <c r="E132" s="242"/>
      <c r="F132" s="206"/>
      <c r="G132" s="242"/>
      <c r="H132" s="260"/>
      <c r="I132" s="261"/>
      <c r="J132" s="262"/>
    </row>
    <row r="133" spans="4:11">
      <c r="D133" s="242"/>
      <c r="E133" s="242"/>
      <c r="F133" s="206"/>
      <c r="G133" s="242"/>
      <c r="H133" s="260"/>
      <c r="I133" s="261"/>
      <c r="J133" s="262"/>
    </row>
    <row r="134" spans="4:11">
      <c r="D134" s="242"/>
      <c r="E134" s="242"/>
      <c r="F134" s="206"/>
      <c r="G134" s="242"/>
      <c r="H134" s="260"/>
      <c r="I134" s="261"/>
      <c r="J134" s="262"/>
    </row>
    <row r="135" spans="4:11">
      <c r="D135" s="242"/>
      <c r="E135" s="242"/>
      <c r="F135" s="206"/>
      <c r="G135" s="242"/>
      <c r="H135" s="260"/>
      <c r="I135" s="261"/>
      <c r="J135" s="262"/>
    </row>
    <row r="136" spans="4:11">
      <c r="D136" s="242"/>
      <c r="E136" s="242"/>
      <c r="F136" s="206"/>
      <c r="G136" s="242"/>
      <c r="H136" s="260"/>
      <c r="I136" s="261"/>
      <c r="J136" s="262"/>
    </row>
    <row r="137" spans="4:11">
      <c r="D137" s="242"/>
      <c r="E137" s="242"/>
      <c r="F137" s="206"/>
      <c r="G137" s="242"/>
      <c r="H137" s="260"/>
      <c r="I137" s="261"/>
      <c r="J137" s="262"/>
    </row>
    <row r="138" spans="4:11">
      <c r="D138" s="242"/>
      <c r="E138" s="242"/>
      <c r="F138" s="206"/>
      <c r="G138" s="242"/>
      <c r="H138" s="260"/>
      <c r="I138" s="266"/>
      <c r="J138" s="262"/>
    </row>
    <row r="139" spans="4:11">
      <c r="D139" s="242"/>
      <c r="E139" s="242"/>
      <c r="F139" s="206"/>
      <c r="G139" s="242"/>
      <c r="H139" s="260"/>
      <c r="I139" s="266"/>
      <c r="J139" s="262"/>
    </row>
    <row r="140" spans="4:11">
      <c r="D140" s="242"/>
      <c r="E140" s="242"/>
      <c r="F140" s="206"/>
      <c r="G140" s="242"/>
      <c r="H140" s="260"/>
      <c r="I140" s="266"/>
      <c r="J140" s="262"/>
    </row>
    <row r="141" spans="4:11">
      <c r="D141" s="242"/>
      <c r="E141" s="242"/>
      <c r="F141" s="206"/>
      <c r="G141" s="242"/>
      <c r="H141" s="260"/>
      <c r="I141" s="266"/>
      <c r="J141" s="262"/>
    </row>
    <row r="142" spans="4:11">
      <c r="D142" s="242"/>
      <c r="E142" s="242"/>
      <c r="F142" s="206"/>
      <c r="G142" s="242"/>
      <c r="H142" s="260"/>
      <c r="I142" s="266"/>
      <c r="J142" s="262"/>
    </row>
    <row r="143" spans="4:11">
      <c r="D143" s="242"/>
      <c r="E143" s="242"/>
      <c r="F143" s="206"/>
      <c r="G143" s="242"/>
      <c r="H143" s="260"/>
      <c r="I143" s="266"/>
      <c r="J143" s="262"/>
    </row>
    <row r="144" spans="4:11">
      <c r="D144" s="242"/>
      <c r="E144" s="242"/>
      <c r="F144" s="206"/>
      <c r="G144" s="242"/>
      <c r="H144" s="260"/>
      <c r="I144" s="266"/>
      <c r="J144" s="262"/>
    </row>
    <row r="145" spans="4:10">
      <c r="D145" s="242"/>
      <c r="E145" s="242"/>
      <c r="F145" s="206"/>
      <c r="G145" s="242"/>
      <c r="H145" s="260"/>
      <c r="I145" s="266"/>
      <c r="J145" s="262"/>
    </row>
    <row r="146" spans="4:10">
      <c r="D146" s="242"/>
      <c r="E146" s="242"/>
      <c r="F146" s="206"/>
      <c r="G146" s="242"/>
      <c r="H146" s="260"/>
      <c r="I146" s="266"/>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06"/>
    </row>
    <row r="184" spans="4:10">
      <c r="D184" s="242"/>
      <c r="E184" s="242"/>
      <c r="F184" s="206"/>
      <c r="G184" s="242"/>
      <c r="H184" s="260"/>
      <c r="I184" s="266"/>
      <c r="J184" s="206"/>
    </row>
    <row r="185" spans="4:10">
      <c r="D185" s="242"/>
      <c r="E185" s="242"/>
      <c r="F185" s="206"/>
      <c r="G185" s="242"/>
      <c r="H185" s="260"/>
      <c r="I185" s="266"/>
      <c r="J185" s="206"/>
    </row>
    <row r="186" spans="4:10">
      <c r="D186" s="242"/>
      <c r="E186" s="242"/>
      <c r="F186" s="206"/>
      <c r="G186" s="242"/>
      <c r="H186" s="260"/>
      <c r="I186" s="266"/>
      <c r="J186" s="206"/>
    </row>
    <row r="187" spans="4:10">
      <c r="D187" s="242"/>
      <c r="E187" s="242"/>
      <c r="F187" s="206"/>
      <c r="G187" s="242"/>
      <c r="H187" s="260"/>
      <c r="I187" s="266"/>
      <c r="J187" s="206"/>
    </row>
    <row r="188" spans="4:10">
      <c r="D188" s="242"/>
      <c r="E188" s="242"/>
      <c r="F188" s="206"/>
      <c r="G188" s="242"/>
      <c r="H188" s="260"/>
      <c r="I188" s="266"/>
      <c r="J188" s="206"/>
    </row>
    <row r="189" spans="4:10">
      <c r="D189" s="242"/>
      <c r="E189" s="242"/>
      <c r="F189" s="206"/>
      <c r="G189" s="242"/>
      <c r="H189" s="260"/>
      <c r="I189" s="266"/>
      <c r="J189" s="206"/>
    </row>
    <row r="190" spans="4:10">
      <c r="D190" s="242"/>
      <c r="E190" s="242"/>
      <c r="F190" s="206"/>
      <c r="G190" s="242"/>
      <c r="H190" s="260"/>
      <c r="I190" s="266"/>
      <c r="J190" s="206"/>
    </row>
    <row r="191" spans="4:10">
      <c r="D191" s="242"/>
      <c r="E191" s="242"/>
      <c r="F191" s="206"/>
      <c r="G191" s="242"/>
      <c r="H191" s="260"/>
      <c r="I191" s="266"/>
      <c r="J191" s="206"/>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06"/>
      <c r="I253" s="266"/>
      <c r="J253" s="206"/>
    </row>
    <row r="254" spans="4:10">
      <c r="D254" s="242"/>
      <c r="E254" s="242"/>
      <c r="F254" s="206"/>
      <c r="G254" s="242"/>
      <c r="H254" s="206"/>
      <c r="I254" s="266"/>
      <c r="J254" s="206"/>
    </row>
    <row r="255" spans="4:10">
      <c r="D255" s="242"/>
      <c r="E255" s="242"/>
      <c r="F255" s="206"/>
      <c r="G255" s="242"/>
      <c r="H255" s="206"/>
      <c r="I255" s="266"/>
      <c r="J255" s="206"/>
    </row>
    <row r="256" spans="4:10">
      <c r="D256" s="242"/>
      <c r="E256" s="242"/>
      <c r="F256" s="206"/>
      <c r="G256" s="242"/>
      <c r="H256" s="206"/>
      <c r="I256" s="266"/>
      <c r="J256" s="206"/>
    </row>
    <row r="257" spans="4:10">
      <c r="D257" s="242"/>
      <c r="E257" s="242"/>
      <c r="F257" s="206"/>
      <c r="G257" s="242"/>
      <c r="H257" s="206"/>
      <c r="I257" s="266"/>
      <c r="J257" s="206"/>
    </row>
    <row r="258" spans="4:10">
      <c r="D258" s="242"/>
      <c r="E258" s="242"/>
      <c r="F258" s="206"/>
      <c r="G258" s="242"/>
      <c r="H258" s="206"/>
      <c r="I258" s="266"/>
      <c r="J258" s="206"/>
    </row>
    <row r="259" spans="4:10">
      <c r="D259" s="242"/>
      <c r="E259" s="242"/>
      <c r="F259" s="206"/>
      <c r="G259" s="242"/>
      <c r="H259" s="206"/>
      <c r="I259" s="266"/>
      <c r="J259" s="206"/>
    </row>
    <row r="260" spans="4:10">
      <c r="D260" s="242"/>
      <c r="E260" s="242"/>
      <c r="F260" s="206"/>
      <c r="G260" s="242"/>
      <c r="H260" s="206"/>
      <c r="I260" s="266"/>
      <c r="J260" s="206"/>
    </row>
    <row r="261" spans="4:10">
      <c r="D261" s="242"/>
      <c r="E261" s="242"/>
      <c r="F261" s="206"/>
      <c r="G261" s="242"/>
      <c r="H261" s="206"/>
      <c r="I261" s="266"/>
      <c r="J261" s="206"/>
    </row>
    <row r="262" spans="4:10">
      <c r="D262" s="242"/>
      <c r="E262" s="242"/>
      <c r="F262" s="206"/>
      <c r="G262" s="242"/>
      <c r="H262" s="206"/>
      <c r="I262" s="266"/>
      <c r="J262" s="206"/>
    </row>
    <row r="263" spans="4:10">
      <c r="D263" s="242"/>
      <c r="E263" s="242"/>
      <c r="F263" s="206"/>
      <c r="G263" s="242"/>
      <c r="H263" s="206"/>
      <c r="I263" s="266"/>
      <c r="J263" s="206"/>
    </row>
    <row r="264" spans="4:10">
      <c r="D264" s="242"/>
      <c r="E264" s="242"/>
      <c r="F264" s="206"/>
      <c r="G264" s="242"/>
      <c r="H264" s="206"/>
      <c r="I264" s="266"/>
      <c r="J264" s="206"/>
    </row>
    <row r="265" spans="4:10">
      <c r="D265" s="242"/>
      <c r="E265" s="242"/>
      <c r="F265" s="206"/>
      <c r="G265" s="242"/>
      <c r="H265" s="206"/>
      <c r="I265" s="266"/>
      <c r="J265" s="206"/>
    </row>
    <row r="266" spans="4:10">
      <c r="D266" s="242"/>
      <c r="E266" s="242"/>
      <c r="F266" s="206"/>
      <c r="G266" s="242"/>
      <c r="H266" s="206"/>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D272" s="242"/>
      <c r="E272" s="242"/>
      <c r="F272" s="206"/>
      <c r="G272" s="242"/>
      <c r="H272" s="206"/>
      <c r="I272" s="266"/>
      <c r="J272" s="206"/>
    </row>
    <row r="273" spans="4:10">
      <c r="D273" s="242"/>
      <c r="E273" s="242"/>
      <c r="F273" s="206"/>
      <c r="G273" s="242"/>
      <c r="H273" s="206"/>
      <c r="I273" s="266"/>
      <c r="J273" s="206"/>
    </row>
    <row r="274" spans="4:10">
      <c r="D274" s="242"/>
      <c r="E274" s="242"/>
      <c r="F274" s="206"/>
      <c r="G274" s="242"/>
      <c r="H274" s="206"/>
      <c r="I274" s="266"/>
      <c r="J274" s="206"/>
    </row>
    <row r="275" spans="4:10">
      <c r="D275" s="242"/>
      <c r="E275" s="242"/>
      <c r="F275" s="206"/>
      <c r="G275" s="242"/>
      <c r="H275" s="206"/>
      <c r="I275" s="266"/>
      <c r="J275" s="206"/>
    </row>
    <row r="276" spans="4:10">
      <c r="D276" s="242"/>
      <c r="E276" s="242"/>
      <c r="F276" s="206"/>
      <c r="G276" s="242"/>
      <c r="H276" s="206"/>
      <c r="I276" s="266"/>
      <c r="J276" s="206"/>
    </row>
    <row r="277" spans="4:10">
      <c r="I277" s="267"/>
    </row>
    <row r="278" spans="4:10">
      <c r="I278" s="267"/>
    </row>
    <row r="279" spans="4:10">
      <c r="I279" s="267"/>
    </row>
    <row r="280" spans="4:10">
      <c r="I280" s="267"/>
    </row>
    <row r="281" spans="4:10">
      <c r="I281" s="267"/>
    </row>
    <row r="282" spans="4:10">
      <c r="I282" s="267"/>
    </row>
    <row r="283" spans="4:10">
      <c r="I283" s="267"/>
    </row>
    <row r="284" spans="4:10">
      <c r="I284" s="267"/>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rowBreaks count="1" manualBreakCount="1">
    <brk id="3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1"/>
  <sheetViews>
    <sheetView tabSelected="1" view="pageBreakPreview" zoomScaleSheetLayoutView="100" workbookViewId="0">
      <selection activeCell="C13" sqref="C13"/>
    </sheetView>
  </sheetViews>
  <sheetFormatPr defaultColWidth="8.7109375" defaultRowHeight="12.75"/>
  <cols>
    <col min="1" max="1" width="11.7109375" style="50" customWidth="1"/>
    <col min="2" max="2" width="42.7109375" style="50" bestFit="1" customWidth="1"/>
    <col min="3" max="3" width="26.28515625" style="50" customWidth="1"/>
    <col min="4" max="4" width="8.85546875" style="50" customWidth="1"/>
    <col min="5" max="5" width="14.85546875" style="50" customWidth="1"/>
    <col min="6" max="6" width="18.7109375" style="50" customWidth="1"/>
    <col min="7" max="8" width="8.7109375" style="50"/>
    <col min="9" max="9" width="14.5703125" style="50" customWidth="1"/>
    <col min="10" max="16384" width="8.7109375" style="50"/>
  </cols>
  <sheetData>
    <row r="2" spans="1:14" ht="13.5" thickBot="1"/>
    <row r="3" spans="1:14" ht="15">
      <c r="A3" s="334" t="s">
        <v>196</v>
      </c>
      <c r="B3" s="335" t="s">
        <v>197</v>
      </c>
      <c r="C3" s="329" t="s">
        <v>193</v>
      </c>
      <c r="D3" s="333" t="s">
        <v>191</v>
      </c>
      <c r="E3" s="333" t="s">
        <v>195</v>
      </c>
      <c r="F3" s="336" t="s">
        <v>192</v>
      </c>
      <c r="G3" s="69"/>
      <c r="H3" s="69"/>
      <c r="I3" s="69"/>
      <c r="J3" s="69"/>
      <c r="K3" s="69"/>
      <c r="L3" s="70"/>
      <c r="M3" s="55"/>
      <c r="N3" s="55"/>
    </row>
    <row r="4" spans="1:14" ht="15">
      <c r="A4" s="625" t="s">
        <v>179</v>
      </c>
      <c r="B4" s="626" t="s">
        <v>751</v>
      </c>
      <c r="C4" s="627">
        <f>'Pripravljalna dela-skupna'!L2</f>
        <v>0</v>
      </c>
      <c r="D4" s="625" t="s">
        <v>194</v>
      </c>
      <c r="E4" s="628">
        <f t="shared" ref="E4" si="0">C4*D4</f>
        <v>0</v>
      </c>
      <c r="F4" s="628">
        <f t="shared" ref="F4" si="1">C4*(1+D4)</f>
        <v>0</v>
      </c>
      <c r="G4" s="69"/>
      <c r="H4" s="69"/>
      <c r="I4" s="653"/>
      <c r="J4" s="69"/>
      <c r="K4" s="69"/>
      <c r="L4" s="70"/>
      <c r="M4" s="55"/>
      <c r="N4" s="55"/>
    </row>
    <row r="5" spans="1:14" ht="19.899999999999999" customHeight="1">
      <c r="A5" s="625" t="s">
        <v>177</v>
      </c>
      <c r="B5" s="626" t="s">
        <v>740</v>
      </c>
      <c r="C5" s="627">
        <f>'Rekapitulacija-cesta LC425043'!D10</f>
        <v>0</v>
      </c>
      <c r="D5" s="625" t="s">
        <v>194</v>
      </c>
      <c r="E5" s="628">
        <f t="shared" ref="E5:E16" si="2">C5*D5</f>
        <v>0</v>
      </c>
      <c r="F5" s="628">
        <f t="shared" ref="F5:F16" si="3">C5*(1+D5)</f>
        <v>0</v>
      </c>
      <c r="G5" s="69"/>
      <c r="H5" s="69"/>
      <c r="I5" s="653"/>
      <c r="J5" s="69"/>
      <c r="K5" s="69"/>
      <c r="L5" s="68"/>
      <c r="M5" s="55"/>
      <c r="N5" s="55"/>
    </row>
    <row r="6" spans="1:14" ht="19.899999999999999" customHeight="1">
      <c r="A6" s="625" t="s">
        <v>175</v>
      </c>
      <c r="B6" s="626" t="s">
        <v>739</v>
      </c>
      <c r="C6" s="627">
        <f>'Rekapitulacija-dovozna cesta'!D7</f>
        <v>0</v>
      </c>
      <c r="D6" s="625" t="s">
        <v>194</v>
      </c>
      <c r="E6" s="628">
        <f t="shared" si="2"/>
        <v>0</v>
      </c>
      <c r="F6" s="628">
        <f t="shared" si="3"/>
        <v>0</v>
      </c>
      <c r="G6" s="69"/>
      <c r="H6" s="69"/>
      <c r="I6" s="653"/>
      <c r="J6" s="69"/>
      <c r="K6" s="69"/>
      <c r="L6" s="68"/>
      <c r="M6" s="55"/>
      <c r="N6" s="55"/>
    </row>
    <row r="7" spans="1:14" ht="19.899999999999999" customHeight="1">
      <c r="A7" s="625" t="s">
        <v>102</v>
      </c>
      <c r="B7" s="626" t="s">
        <v>738</v>
      </c>
      <c r="C7" s="627">
        <f>'Rekapitulacija-dovozna cesta 2'!D6</f>
        <v>0</v>
      </c>
      <c r="D7" s="625" t="s">
        <v>194</v>
      </c>
      <c r="E7" s="628">
        <f t="shared" ref="E7:E9" si="4">C7*D7</f>
        <v>0</v>
      </c>
      <c r="F7" s="628">
        <f t="shared" ref="F7:F9" si="5">C7*(1+D7)</f>
        <v>0</v>
      </c>
      <c r="G7" s="69"/>
      <c r="H7" s="69"/>
      <c r="I7" s="653"/>
      <c r="J7" s="69"/>
      <c r="K7" s="69"/>
      <c r="L7" s="68"/>
      <c r="M7" s="55"/>
      <c r="N7" s="55"/>
    </row>
    <row r="8" spans="1:14" ht="19.899999999999999" customHeight="1">
      <c r="A8" s="625" t="s">
        <v>173</v>
      </c>
      <c r="B8" s="626" t="s">
        <v>828</v>
      </c>
      <c r="C8" s="627">
        <f>'Rekapitulacija-G.Ponikve'!D8</f>
        <v>0</v>
      </c>
      <c r="D8" s="625" t="s">
        <v>194</v>
      </c>
      <c r="E8" s="628">
        <f t="shared" si="4"/>
        <v>0</v>
      </c>
      <c r="F8" s="628">
        <f t="shared" si="5"/>
        <v>0</v>
      </c>
      <c r="G8" s="69"/>
      <c r="H8" s="69"/>
      <c r="I8" s="653"/>
      <c r="J8" s="69"/>
      <c r="K8" s="69"/>
      <c r="L8" s="68"/>
      <c r="M8" s="55"/>
      <c r="N8" s="55"/>
    </row>
    <row r="9" spans="1:14" ht="19.899999999999999" customHeight="1">
      <c r="A9" s="625" t="s">
        <v>171</v>
      </c>
      <c r="B9" s="626" t="s">
        <v>829</v>
      </c>
      <c r="C9" s="627">
        <f>'Rekapitulacija-ulice D.Ponikve'!D8</f>
        <v>0</v>
      </c>
      <c r="D9" s="625" t="s">
        <v>194</v>
      </c>
      <c r="E9" s="628">
        <f t="shared" si="4"/>
        <v>0</v>
      </c>
      <c r="F9" s="628">
        <f t="shared" si="5"/>
        <v>0</v>
      </c>
      <c r="G9" s="69"/>
      <c r="H9" s="69"/>
      <c r="I9" s="653"/>
      <c r="J9" s="69"/>
      <c r="K9" s="69"/>
      <c r="L9" s="68"/>
      <c r="M9" s="55"/>
      <c r="N9" s="55"/>
    </row>
    <row r="10" spans="1:14" ht="19.899999999999999" customHeight="1">
      <c r="A10" s="625" t="s">
        <v>49</v>
      </c>
      <c r="B10" s="626" t="s">
        <v>45</v>
      </c>
      <c r="C10" s="627">
        <f>'Rekapitulacija fek.kan'!D9</f>
        <v>0</v>
      </c>
      <c r="D10" s="625" t="s">
        <v>194</v>
      </c>
      <c r="E10" s="628">
        <f t="shared" si="2"/>
        <v>0</v>
      </c>
      <c r="F10" s="628">
        <f t="shared" si="3"/>
        <v>0</v>
      </c>
      <c r="G10" s="69"/>
      <c r="H10" s="69"/>
      <c r="I10" s="653"/>
      <c r="J10" s="69"/>
      <c r="K10" s="69"/>
      <c r="L10" s="68"/>
      <c r="M10" s="55"/>
      <c r="N10" s="55"/>
    </row>
    <row r="11" spans="1:14" ht="19.899999999999999" customHeight="1">
      <c r="A11" s="625" t="s">
        <v>734</v>
      </c>
      <c r="B11" s="626" t="s">
        <v>46</v>
      </c>
      <c r="C11" s="627">
        <f>'rekapitulacija met kan'!D9</f>
        <v>0</v>
      </c>
      <c r="D11" s="625" t="s">
        <v>194</v>
      </c>
      <c r="E11" s="628">
        <f t="shared" si="2"/>
        <v>0</v>
      </c>
      <c r="F11" s="628">
        <f t="shared" si="3"/>
        <v>0</v>
      </c>
      <c r="G11" s="69"/>
      <c r="H11" s="69"/>
      <c r="I11" s="69"/>
      <c r="J11" s="69"/>
      <c r="K11" s="69"/>
      <c r="L11" s="68"/>
      <c r="M11" s="55"/>
      <c r="N11" s="55"/>
    </row>
    <row r="12" spans="1:14" ht="19.899999999999999" customHeight="1">
      <c r="A12" s="625" t="s">
        <v>736</v>
      </c>
      <c r="B12" s="626" t="s">
        <v>0</v>
      </c>
      <c r="C12" s="627">
        <f>'vodovod rekapitulacija'!F25</f>
        <v>0</v>
      </c>
      <c r="D12" s="625" t="s">
        <v>194</v>
      </c>
      <c r="E12" s="628">
        <f t="shared" si="2"/>
        <v>0</v>
      </c>
      <c r="F12" s="628">
        <f t="shared" si="3"/>
        <v>0</v>
      </c>
      <c r="G12" s="69"/>
      <c r="H12" s="69"/>
      <c r="I12" s="69"/>
      <c r="J12" s="69"/>
      <c r="K12" s="69"/>
      <c r="L12" s="68"/>
      <c r="M12" s="55"/>
      <c r="N12" s="55"/>
    </row>
    <row r="13" spans="1:14" ht="19.899999999999999" customHeight="1">
      <c r="A13" s="625" t="s">
        <v>737</v>
      </c>
      <c r="B13" s="626" t="s">
        <v>199</v>
      </c>
      <c r="C13" s="627">
        <f>JR!M12</f>
        <v>0</v>
      </c>
      <c r="D13" s="625" t="s">
        <v>194</v>
      </c>
      <c r="E13" s="628">
        <f t="shared" si="2"/>
        <v>0</v>
      </c>
      <c r="F13" s="628">
        <f t="shared" si="3"/>
        <v>0</v>
      </c>
      <c r="G13" s="69"/>
      <c r="H13" s="69"/>
      <c r="I13" s="69"/>
      <c r="J13" s="69"/>
      <c r="K13" s="69"/>
      <c r="L13" s="68"/>
      <c r="M13" s="55"/>
      <c r="N13" s="55"/>
    </row>
    <row r="14" spans="1:14" ht="19.899999999999999" customHeight="1">
      <c r="A14" s="625" t="s">
        <v>749</v>
      </c>
      <c r="B14" s="626" t="s">
        <v>735</v>
      </c>
      <c r="C14" s="627">
        <f>'NN priključek črpališč'!G39</f>
        <v>0</v>
      </c>
      <c r="D14" s="625" t="s">
        <v>194</v>
      </c>
      <c r="E14" s="628">
        <f t="shared" ref="E14:E15" si="6">C14*D14</f>
        <v>0</v>
      </c>
      <c r="F14" s="628">
        <f t="shared" ref="F14:F15" si="7">C14*(1+D14)</f>
        <v>0</v>
      </c>
      <c r="G14" s="69"/>
      <c r="H14" s="69"/>
      <c r="I14" s="69"/>
      <c r="J14" s="69"/>
      <c r="K14" s="69"/>
      <c r="L14" s="68"/>
      <c r="M14" s="55"/>
      <c r="N14" s="55"/>
    </row>
    <row r="15" spans="1:14" ht="19.899999999999999" customHeight="1">
      <c r="A15" s="625" t="s">
        <v>750</v>
      </c>
      <c r="B15" s="626" t="s">
        <v>742</v>
      </c>
      <c r="C15" s="627">
        <f>'Črpališče G. in D. Ponikve-elek'!F7</f>
        <v>0</v>
      </c>
      <c r="D15" s="625" t="s">
        <v>194</v>
      </c>
      <c r="E15" s="628">
        <f t="shared" si="6"/>
        <v>0</v>
      </c>
      <c r="F15" s="628">
        <f t="shared" si="7"/>
        <v>0</v>
      </c>
      <c r="G15" s="69"/>
      <c r="H15" s="69"/>
      <c r="I15" s="69"/>
      <c r="J15" s="69"/>
      <c r="K15" s="69"/>
      <c r="L15" s="68"/>
      <c r="M15" s="55"/>
      <c r="N15" s="55"/>
    </row>
    <row r="16" spans="1:14" ht="19.899999999999999" customHeight="1">
      <c r="A16" s="625" t="s">
        <v>802</v>
      </c>
      <c r="B16" s="626" t="s">
        <v>741</v>
      </c>
      <c r="C16" s="627">
        <f>'ČRP G. Ponikve'!J8+'ČRP D. Ponikve'!J8</f>
        <v>0</v>
      </c>
      <c r="D16" s="625" t="s">
        <v>194</v>
      </c>
      <c r="E16" s="628">
        <f t="shared" si="2"/>
        <v>0</v>
      </c>
      <c r="F16" s="628">
        <f t="shared" si="3"/>
        <v>0</v>
      </c>
      <c r="G16" s="69"/>
      <c r="H16" s="69"/>
      <c r="I16" s="69"/>
      <c r="J16" s="69"/>
      <c r="K16" s="69"/>
      <c r="L16" s="68"/>
      <c r="M16" s="55"/>
      <c r="N16" s="55"/>
    </row>
    <row r="17" spans="1:14" ht="19.899999999999999" customHeight="1">
      <c r="A17" s="625" t="s">
        <v>803</v>
      </c>
      <c r="B17" s="626" t="s">
        <v>334</v>
      </c>
      <c r="C17" s="627">
        <f>'Tuje storitve - skupno'!F1</f>
        <v>0</v>
      </c>
      <c r="D17" s="625" t="s">
        <v>194</v>
      </c>
      <c r="E17" s="628">
        <f t="shared" ref="E17" si="8">C17*D17</f>
        <v>0</v>
      </c>
      <c r="F17" s="628">
        <f t="shared" ref="F17" si="9">C17*(1+D17)</f>
        <v>0</v>
      </c>
      <c r="G17" s="69"/>
      <c r="H17" s="69"/>
      <c r="I17" s="69"/>
      <c r="J17" s="69"/>
      <c r="K17" s="69"/>
      <c r="L17" s="68"/>
      <c r="M17" s="55"/>
      <c r="N17" s="55"/>
    </row>
    <row r="18" spans="1:14" s="59" customFormat="1" ht="19.899999999999999" customHeight="1" thickBot="1">
      <c r="A18" s="330" t="s">
        <v>169</v>
      </c>
      <c r="B18" s="326"/>
      <c r="C18" s="327">
        <f>SUM(C4:C17)</f>
        <v>0</v>
      </c>
      <c r="D18" s="331"/>
      <c r="E18" s="331"/>
      <c r="F18" s="332">
        <f>SUM(F4:F17)</f>
        <v>0</v>
      </c>
      <c r="G18" s="62"/>
      <c r="H18" s="62"/>
      <c r="I18" s="62"/>
      <c r="J18" s="62"/>
      <c r="K18" s="62"/>
      <c r="L18" s="61"/>
      <c r="M18" s="60"/>
      <c r="N18" s="60"/>
    </row>
    <row r="19" spans="1:14">
      <c r="F19" s="51"/>
    </row>
    <row r="21" spans="1:14">
      <c r="C21" s="51"/>
    </row>
  </sheetData>
  <phoneticPr fontId="31" type="noConversion"/>
  <pageMargins left="1" right="1" top="1" bottom="1" header="0.5" footer="0.5"/>
  <pageSetup paperSize="9" scale="69" orientation="landscape" r:id="rId1"/>
  <headerFooter>
    <oddHeader>&amp;CProjekt komunalnega opremljanja območja ZN CvibljeDolenje in Gorenje Ponikve:
Kanalizacija, rekonstrukcija vodovoda in pločnik med naseljema</oddHeader>
    <oddFooter>&amp;R&amp;"Arial,Poševno"&amp;P/&amp;N</oddFooter>
  </headerFooter>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280"/>
  <sheetViews>
    <sheetView view="pageBreakPreview" topLeftCell="A31" zoomScale="130" zoomScaleSheetLayoutView="130" workbookViewId="0">
      <selection activeCell="H59" sqref="H59"/>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41</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Q19</f>
        <v>16.059999999999999</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f>R13+R14</f>
        <v>1</v>
      </c>
      <c r="G11" s="167"/>
      <c r="H11" s="176"/>
      <c r="I11" s="163"/>
      <c r="J11" s="176">
        <f>F11*H11</f>
        <v>0</v>
      </c>
      <c r="K11" s="136"/>
      <c r="L11" s="136" t="s">
        <v>453</v>
      </c>
      <c r="N11">
        <v>0</v>
      </c>
      <c r="O11">
        <v>2.37</v>
      </c>
      <c r="P11">
        <v>0</v>
      </c>
      <c r="Q11">
        <v>57.33</v>
      </c>
      <c r="R11">
        <v>55.98</v>
      </c>
      <c r="S11">
        <v>1.35</v>
      </c>
      <c r="T11">
        <v>0</v>
      </c>
      <c r="U11">
        <v>0</v>
      </c>
      <c r="V11">
        <v>0</v>
      </c>
      <c r="W11">
        <v>56.55</v>
      </c>
      <c r="X11">
        <v>38.130000000000003</v>
      </c>
      <c r="Y11">
        <v>9.0299999999999994</v>
      </c>
      <c r="Z11">
        <v>7.73</v>
      </c>
      <c r="AA11">
        <v>1.66</v>
      </c>
      <c r="AB11">
        <v>38.130000000000003</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1</v>
      </c>
      <c r="G13" s="167"/>
      <c r="H13" s="176"/>
      <c r="I13" s="182"/>
      <c r="J13" s="176">
        <f>F13*H13</f>
        <v>0</v>
      </c>
      <c r="K13" s="136"/>
      <c r="L13" s="136" t="s">
        <v>179</v>
      </c>
      <c r="M13" t="s">
        <v>389</v>
      </c>
      <c r="N13">
        <v>1</v>
      </c>
      <c r="O13" t="s">
        <v>390</v>
      </c>
      <c r="P13" t="s">
        <v>391</v>
      </c>
      <c r="Q13">
        <v>1000</v>
      </c>
      <c r="R13">
        <v>1</v>
      </c>
    </row>
    <row r="14" spans="1:28" ht="14.25">
      <c r="A14" s="172"/>
      <c r="B14" s="173"/>
      <c r="C14" s="173"/>
      <c r="D14" s="165"/>
      <c r="E14" s="165"/>
      <c r="F14" s="166"/>
      <c r="G14" s="167"/>
      <c r="H14" s="168"/>
      <c r="I14" s="182"/>
      <c r="J14" s="168"/>
      <c r="K14" s="136"/>
      <c r="L14" s="136" t="s">
        <v>177</v>
      </c>
      <c r="M14" t="s">
        <v>389</v>
      </c>
      <c r="N14">
        <v>11</v>
      </c>
      <c r="O14" t="s">
        <v>392</v>
      </c>
      <c r="P14" t="s">
        <v>391</v>
      </c>
      <c r="Q14">
        <v>1000</v>
      </c>
      <c r="R14">
        <v>0</v>
      </c>
    </row>
    <row r="15" spans="1:28" ht="14.25">
      <c r="A15" s="172" t="s">
        <v>67</v>
      </c>
      <c r="B15" s="173" t="s">
        <v>74</v>
      </c>
      <c r="C15" s="173"/>
      <c r="D15" s="174" t="s">
        <v>190</v>
      </c>
      <c r="E15" s="165"/>
      <c r="F15" s="175">
        <v>1</v>
      </c>
      <c r="G15" s="167"/>
      <c r="H15" s="176"/>
      <c r="I15" s="182"/>
      <c r="J15" s="176">
        <f>F15*H15</f>
        <v>0</v>
      </c>
      <c r="K15" s="136"/>
      <c r="L15" s="136"/>
    </row>
    <row r="16" spans="1:28" ht="14.25">
      <c r="A16" s="172"/>
      <c r="B16" s="173"/>
      <c r="C16" s="173"/>
      <c r="D16" s="165"/>
      <c r="E16" s="165"/>
      <c r="F16" s="166"/>
      <c r="G16" s="167"/>
      <c r="H16" s="168"/>
      <c r="I16" s="182"/>
      <c r="J16" s="168"/>
      <c r="K16" s="136"/>
      <c r="L16" s="136"/>
    </row>
    <row r="17" spans="1:17" ht="15" thickBot="1">
      <c r="A17" s="183"/>
      <c r="B17" s="184" t="s">
        <v>75</v>
      </c>
      <c r="C17" s="184"/>
      <c r="D17" s="185"/>
      <c r="E17" s="185"/>
      <c r="F17" s="186"/>
      <c r="G17" s="185"/>
      <c r="H17" s="187"/>
      <c r="I17" s="188"/>
      <c r="J17" s="189">
        <f>SUM(J9:J15)</f>
        <v>0</v>
      </c>
      <c r="K17" s="136"/>
      <c r="L17" s="136"/>
    </row>
    <row r="18" spans="1:17" ht="15" thickTop="1">
      <c r="A18" s="190"/>
      <c r="B18" s="191"/>
      <c r="C18" s="191"/>
      <c r="D18" s="192"/>
      <c r="E18" s="192"/>
      <c r="F18" s="165"/>
      <c r="G18" s="192"/>
      <c r="H18" s="193"/>
      <c r="I18" s="182"/>
      <c r="J18" s="194"/>
      <c r="K18" s="136"/>
      <c r="L18" s="136" t="s">
        <v>221</v>
      </c>
      <c r="N18" t="s">
        <v>239</v>
      </c>
      <c r="P18" t="s">
        <v>238</v>
      </c>
      <c r="Q18" s="450" t="s">
        <v>394</v>
      </c>
    </row>
    <row r="19" spans="1:17" ht="14.25">
      <c r="A19" s="190"/>
      <c r="B19" s="191"/>
      <c r="C19" s="191"/>
      <c r="D19" s="192"/>
      <c r="E19" s="192"/>
      <c r="F19" s="165"/>
      <c r="G19" s="192"/>
      <c r="H19" s="193"/>
      <c r="I19" s="182"/>
      <c r="J19" s="194"/>
      <c r="K19" s="136"/>
      <c r="L19" s="136" t="s">
        <v>240</v>
      </c>
      <c r="N19">
        <v>311.7</v>
      </c>
      <c r="P19">
        <v>235.4</v>
      </c>
      <c r="Q19">
        <v>16.059999999999999</v>
      </c>
    </row>
    <row r="20" spans="1:17" ht="15">
      <c r="A20" s="195" t="s">
        <v>61</v>
      </c>
      <c r="B20" s="196" t="s">
        <v>76</v>
      </c>
      <c r="C20" s="196"/>
      <c r="D20" s="160"/>
      <c r="E20" s="160"/>
      <c r="F20" s="170"/>
      <c r="G20" s="171"/>
      <c r="H20" s="197"/>
      <c r="I20" s="180"/>
      <c r="J20" s="198"/>
      <c r="K20" s="136"/>
      <c r="L20" s="136"/>
    </row>
    <row r="21" spans="1:17" ht="15">
      <c r="A21" s="195"/>
      <c r="B21" s="453" t="s">
        <v>452</v>
      </c>
      <c r="C21" s="196"/>
      <c r="D21" s="160"/>
      <c r="E21" s="160"/>
      <c r="F21" s="170"/>
      <c r="G21" s="171"/>
      <c r="H21" s="197"/>
      <c r="I21" s="180"/>
      <c r="J21" s="198"/>
      <c r="K21" s="136"/>
      <c r="L21" s="136"/>
    </row>
    <row r="22" spans="1:17" ht="51">
      <c r="A22" s="203" t="s">
        <v>61</v>
      </c>
      <c r="B22" s="204" t="s">
        <v>22</v>
      </c>
      <c r="C22" s="205"/>
      <c r="D22" s="206"/>
      <c r="E22" s="206"/>
      <c r="F22" s="207"/>
      <c r="G22" s="208"/>
      <c r="H22" s="209"/>
      <c r="I22" s="180"/>
      <c r="J22" s="194"/>
      <c r="K22" s="136"/>
      <c r="L22" s="136"/>
    </row>
    <row r="23" spans="1:17" ht="15.75">
      <c r="A23" s="210"/>
      <c r="B23" s="205" t="s">
        <v>78</v>
      </c>
      <c r="C23" s="205"/>
      <c r="D23" s="211" t="s">
        <v>108</v>
      </c>
      <c r="E23" s="206"/>
      <c r="F23" s="175">
        <f>F9*1*0.95</f>
        <v>15.256999999999998</v>
      </c>
      <c r="G23" s="208"/>
      <c r="H23" s="213"/>
      <c r="I23" s="180"/>
      <c r="J23" s="202">
        <f>F23*H23</f>
        <v>0</v>
      </c>
      <c r="K23" s="136"/>
      <c r="L23" s="136"/>
    </row>
    <row r="24" spans="1:17" ht="14.25">
      <c r="A24" s="203"/>
      <c r="B24" s="205" t="s">
        <v>79</v>
      </c>
      <c r="C24" s="205"/>
      <c r="D24" s="211" t="s">
        <v>108</v>
      </c>
      <c r="E24" s="206"/>
      <c r="F24" s="181">
        <f>F9*1*0.05</f>
        <v>0.80299999999999994</v>
      </c>
      <c r="G24" s="208"/>
      <c r="H24" s="213"/>
      <c r="I24" s="180"/>
      <c r="J24" s="202">
        <f>F24*H24</f>
        <v>0</v>
      </c>
      <c r="K24" s="136"/>
      <c r="L24" s="136"/>
    </row>
    <row r="25" spans="1:17" ht="51">
      <c r="A25" s="172" t="s">
        <v>63</v>
      </c>
      <c r="B25" s="224" t="s">
        <v>80</v>
      </c>
      <c r="C25" s="225"/>
      <c r="D25" s="174" t="s">
        <v>108</v>
      </c>
      <c r="E25" s="160"/>
      <c r="F25" s="175">
        <f>AA11</f>
        <v>1.66</v>
      </c>
      <c r="G25" s="167"/>
      <c r="H25" s="213"/>
      <c r="I25" s="169"/>
      <c r="J25" s="202">
        <f>F25*H25</f>
        <v>0</v>
      </c>
      <c r="K25" s="200"/>
      <c r="L25" s="199"/>
      <c r="M25" s="200"/>
    </row>
    <row r="26" spans="1:17" ht="14.25">
      <c r="A26" s="172"/>
      <c r="B26" s="224"/>
      <c r="C26" s="225"/>
      <c r="D26" s="160"/>
      <c r="E26" s="160"/>
      <c r="F26" s="166"/>
      <c r="G26" s="167"/>
      <c r="H26" s="215"/>
      <c r="I26" s="169"/>
      <c r="J26" s="194"/>
      <c r="K26" s="200"/>
      <c r="L26" s="199"/>
      <c r="M26" s="200"/>
    </row>
    <row r="27" spans="1:17" ht="38.25">
      <c r="A27" s="172" t="s">
        <v>67</v>
      </c>
      <c r="B27" s="173" t="s">
        <v>24</v>
      </c>
      <c r="C27" s="225"/>
      <c r="D27" s="174" t="s">
        <v>108</v>
      </c>
      <c r="E27" s="160"/>
      <c r="F27" s="175">
        <f>Z11</f>
        <v>7.73</v>
      </c>
      <c r="G27" s="167"/>
      <c r="H27" s="213"/>
      <c r="I27" s="169"/>
      <c r="J27" s="202">
        <f>F27*H27</f>
        <v>0</v>
      </c>
      <c r="K27" s="200"/>
      <c r="L27" s="199"/>
      <c r="M27" s="200"/>
    </row>
    <row r="28" spans="1:17" ht="14.25">
      <c r="A28" s="172"/>
      <c r="B28" s="173"/>
      <c r="C28" s="225"/>
      <c r="D28" s="165"/>
      <c r="E28" s="160"/>
      <c r="F28" s="166"/>
      <c r="G28" s="167"/>
      <c r="H28" s="215"/>
      <c r="I28" s="169"/>
      <c r="J28" s="194"/>
      <c r="K28" s="200"/>
      <c r="L28" s="199"/>
      <c r="M28" s="200"/>
    </row>
    <row r="29" spans="1:17" ht="76.5">
      <c r="A29" s="172" t="s">
        <v>68</v>
      </c>
      <c r="B29" s="224" t="s">
        <v>25</v>
      </c>
      <c r="C29" s="226"/>
      <c r="D29" s="179"/>
      <c r="E29" s="179"/>
      <c r="F29" s="166"/>
      <c r="G29" s="167"/>
      <c r="H29" s="198"/>
      <c r="I29" s="163"/>
      <c r="J29" s="198"/>
      <c r="K29" s="171"/>
      <c r="L29" s="219"/>
      <c r="M29" s="200"/>
    </row>
    <row r="30" spans="1:17" ht="15">
      <c r="A30" s="172"/>
      <c r="B30" s="173" t="s">
        <v>78</v>
      </c>
      <c r="C30" s="173"/>
      <c r="D30" s="174" t="s">
        <v>108</v>
      </c>
      <c r="E30" s="160"/>
      <c r="F30" s="175">
        <f>(F23+F24-F25-F27)*0.95</f>
        <v>6.3364999999999982</v>
      </c>
      <c r="G30" s="167"/>
      <c r="H30" s="213"/>
      <c r="I30" s="163"/>
      <c r="J30" s="202">
        <f>F30*H30</f>
        <v>0</v>
      </c>
      <c r="K30" s="171"/>
      <c r="L30" s="219"/>
      <c r="M30" s="200"/>
    </row>
    <row r="31" spans="1:17" ht="14.25">
      <c r="A31" s="172"/>
      <c r="B31" s="173" t="s">
        <v>79</v>
      </c>
      <c r="C31" s="173"/>
      <c r="D31" s="174" t="s">
        <v>108</v>
      </c>
      <c r="E31" s="160"/>
      <c r="F31" s="181">
        <f>(F23+F24-F25-F27)*0.05</f>
        <v>0.33349999999999991</v>
      </c>
      <c r="G31" s="167"/>
      <c r="H31" s="213"/>
      <c r="I31" s="163"/>
      <c r="J31" s="202">
        <f>F31*H31</f>
        <v>0</v>
      </c>
      <c r="K31" s="199"/>
      <c r="L31" s="199"/>
      <c r="M31" s="200"/>
      <c r="N31" s="200"/>
      <c r="O31" s="200"/>
    </row>
    <row r="32" spans="1:17" ht="25.5">
      <c r="A32" s="172" t="s">
        <v>69</v>
      </c>
      <c r="B32" s="228" t="s">
        <v>27</v>
      </c>
      <c r="C32" s="226"/>
      <c r="D32" s="174" t="s">
        <v>108</v>
      </c>
      <c r="E32" s="160"/>
      <c r="F32" s="175">
        <f>F23+F24-F30-F31</f>
        <v>9.39</v>
      </c>
      <c r="G32" s="167"/>
      <c r="H32" s="213"/>
      <c r="I32" s="163"/>
      <c r="J32" s="202">
        <f>F32*H32</f>
        <v>0</v>
      </c>
      <c r="K32" s="199"/>
      <c r="L32" s="199"/>
      <c r="M32" s="200"/>
      <c r="N32" s="200"/>
      <c r="O32" s="200"/>
    </row>
    <row r="33" spans="1:15">
      <c r="A33" s="172"/>
      <c r="B33" s="228"/>
      <c r="C33" s="226"/>
      <c r="D33" s="165"/>
      <c r="E33" s="160"/>
      <c r="F33" s="166"/>
      <c r="G33" s="167"/>
      <c r="H33" s="215"/>
      <c r="I33" s="163"/>
      <c r="J33" s="194"/>
      <c r="K33" s="217"/>
      <c r="L33" s="200"/>
      <c r="M33" s="200"/>
      <c r="N33" s="200"/>
      <c r="O33" s="200"/>
    </row>
    <row r="34" spans="1:15" ht="13.5" thickBot="1">
      <c r="A34" s="183"/>
      <c r="B34" s="232" t="s">
        <v>28</v>
      </c>
      <c r="C34" s="232"/>
      <c r="D34" s="233"/>
      <c r="E34" s="233"/>
      <c r="F34" s="234"/>
      <c r="G34" s="235"/>
      <c r="H34" s="189"/>
      <c r="I34" s="236"/>
      <c r="J34" s="189">
        <f>SUM(J22:J33)</f>
        <v>0</v>
      </c>
      <c r="K34" s="217"/>
      <c r="L34" s="200"/>
      <c r="M34" s="200"/>
      <c r="N34" s="200"/>
      <c r="O34" s="200"/>
    </row>
    <row r="35" spans="1:15" ht="13.5" thickTop="1">
      <c r="A35" s="190"/>
      <c r="B35" s="237"/>
      <c r="C35" s="237"/>
      <c r="D35" s="238"/>
      <c r="E35" s="238"/>
      <c r="F35" s="166"/>
      <c r="G35" s="167"/>
      <c r="H35" s="194"/>
      <c r="I35" s="169"/>
      <c r="J35" s="194"/>
      <c r="K35" s="217"/>
      <c r="L35" s="200"/>
      <c r="M35" s="200"/>
      <c r="N35" s="200"/>
      <c r="O35" s="200"/>
    </row>
    <row r="36" spans="1:15">
      <c r="A36" s="190"/>
      <c r="B36" s="237"/>
      <c r="C36" s="237"/>
      <c r="D36" s="238"/>
      <c r="E36" s="238"/>
      <c r="F36" s="166"/>
      <c r="G36" s="167"/>
      <c r="H36" s="194"/>
      <c r="I36" s="169"/>
      <c r="J36" s="194"/>
      <c r="K36" s="217"/>
      <c r="L36" s="200"/>
      <c r="M36" s="200"/>
      <c r="N36" s="200"/>
      <c r="O36" s="200"/>
    </row>
    <row r="37" spans="1:15" ht="15">
      <c r="A37" s="195" t="s">
        <v>63</v>
      </c>
      <c r="B37" s="239" t="s">
        <v>29</v>
      </c>
      <c r="C37" s="239"/>
      <c r="D37" s="160"/>
      <c r="E37" s="160"/>
      <c r="F37" s="170"/>
      <c r="G37" s="171"/>
      <c r="H37" s="198"/>
      <c r="I37" s="163"/>
      <c r="J37" s="198"/>
      <c r="K37" s="217"/>
      <c r="L37" s="200"/>
      <c r="M37" s="200"/>
      <c r="N37" s="200"/>
      <c r="O37" s="200"/>
    </row>
    <row r="38" spans="1:15" ht="15">
      <c r="A38" s="195"/>
      <c r="B38" s="239"/>
      <c r="C38" s="239"/>
      <c r="D38" s="160"/>
      <c r="E38" s="160"/>
      <c r="F38" s="170"/>
      <c r="G38" s="171"/>
      <c r="H38" s="198"/>
      <c r="I38" s="163"/>
      <c r="J38" s="198"/>
      <c r="K38" s="217"/>
      <c r="L38" s="200"/>
      <c r="M38" s="200"/>
    </row>
    <row r="39" spans="1:15" ht="38.25">
      <c r="A39" s="172" t="s">
        <v>58</v>
      </c>
      <c r="B39" s="226" t="s">
        <v>396</v>
      </c>
      <c r="C39" s="226"/>
      <c r="D39" s="174" t="s">
        <v>60</v>
      </c>
      <c r="E39" s="160"/>
      <c r="F39" s="240">
        <f>Q19</f>
        <v>16.059999999999999</v>
      </c>
      <c r="G39" s="223"/>
      <c r="H39" s="213"/>
      <c r="I39" s="163"/>
      <c r="J39" s="202">
        <f>F39*H39</f>
        <v>0</v>
      </c>
      <c r="K39" s="217"/>
      <c r="L39" s="200"/>
      <c r="M39" s="200"/>
      <c r="N39" s="200"/>
      <c r="O39" s="200"/>
    </row>
    <row r="40" spans="1:15">
      <c r="A40" s="172"/>
      <c r="B40" s="226"/>
      <c r="C40" s="226"/>
      <c r="D40" s="160"/>
      <c r="E40" s="160"/>
      <c r="F40" s="170"/>
      <c r="G40" s="171"/>
      <c r="H40" s="198"/>
      <c r="I40" s="163"/>
      <c r="J40" s="198"/>
      <c r="K40" s="217"/>
      <c r="L40" s="200"/>
      <c r="M40" s="200"/>
      <c r="N40" s="200"/>
      <c r="O40" s="200"/>
    </row>
    <row r="41" spans="1:15">
      <c r="A41" s="172"/>
      <c r="B41" s="226"/>
      <c r="C41" s="226"/>
      <c r="D41" s="160"/>
      <c r="E41" s="160"/>
      <c r="F41" s="170"/>
      <c r="G41" s="171"/>
      <c r="H41" s="198"/>
      <c r="I41" s="163"/>
      <c r="J41" s="198"/>
      <c r="K41" s="217"/>
      <c r="L41" s="200"/>
      <c r="M41" s="200"/>
      <c r="N41" s="200"/>
      <c r="O41" s="200"/>
    </row>
    <row r="42" spans="1:15" ht="51">
      <c r="A42" s="172" t="s">
        <v>61</v>
      </c>
      <c r="B42" s="241" t="s">
        <v>398</v>
      </c>
      <c r="C42" s="241"/>
      <c r="D42" s="165"/>
      <c r="E42" s="165"/>
      <c r="F42" s="166"/>
      <c r="G42" s="167"/>
      <c r="H42" s="198"/>
      <c r="I42" s="163"/>
      <c r="J42" s="198"/>
      <c r="K42" s="217"/>
      <c r="L42" s="200"/>
      <c r="M42" s="200"/>
      <c r="N42" s="200"/>
      <c r="O42" s="200"/>
    </row>
    <row r="43" spans="1:15">
      <c r="A43" s="172"/>
      <c r="B43" s="241"/>
      <c r="C43" s="241"/>
      <c r="D43" s="174" t="s">
        <v>190</v>
      </c>
      <c r="E43" s="165"/>
      <c r="F43" s="175">
        <f>R13</f>
        <v>1</v>
      </c>
      <c r="G43" s="167"/>
      <c r="H43" s="213"/>
      <c r="I43" s="163"/>
      <c r="J43" s="202">
        <f>F43*H43</f>
        <v>0</v>
      </c>
      <c r="K43" s="217"/>
      <c r="L43" s="200"/>
      <c r="M43" s="200"/>
      <c r="N43" s="200"/>
      <c r="O43" s="200"/>
    </row>
    <row r="44" spans="1:15">
      <c r="A44" s="172"/>
      <c r="B44" s="241"/>
      <c r="C44" s="241"/>
      <c r="D44" s="160"/>
      <c r="E44" s="160"/>
      <c r="F44" s="170"/>
      <c r="G44" s="171"/>
      <c r="H44" s="198"/>
      <c r="I44" s="163"/>
      <c r="J44" s="198"/>
      <c r="K44" s="217"/>
      <c r="L44" s="200"/>
      <c r="M44" s="200"/>
      <c r="N44" s="200"/>
      <c r="O44" s="200"/>
    </row>
    <row r="45" spans="1:15">
      <c r="A45" s="172"/>
      <c r="B45" s="241"/>
      <c r="C45" s="241"/>
      <c r="D45" s="165"/>
      <c r="E45" s="165"/>
      <c r="F45" s="166"/>
      <c r="G45" s="167"/>
      <c r="H45" s="198"/>
      <c r="I45" s="163"/>
      <c r="J45" s="198"/>
      <c r="K45" s="217"/>
      <c r="L45" s="200"/>
      <c r="M45" s="200"/>
      <c r="N45" s="200"/>
      <c r="O45" s="200"/>
    </row>
    <row r="46" spans="1:15">
      <c r="A46" s="172"/>
      <c r="B46" s="241"/>
      <c r="C46" s="241"/>
      <c r="D46" s="165"/>
      <c r="E46" s="165"/>
      <c r="F46" s="166"/>
      <c r="G46" s="167"/>
      <c r="H46" s="215"/>
      <c r="I46" s="169"/>
      <c r="J46" s="194"/>
      <c r="K46" s="217"/>
      <c r="L46" s="200"/>
      <c r="M46" s="200"/>
      <c r="N46" s="200"/>
      <c r="O46" s="200"/>
    </row>
    <row r="47" spans="1:15">
      <c r="A47" s="172"/>
      <c r="B47" s="241"/>
      <c r="C47" s="241"/>
      <c r="D47" s="160"/>
      <c r="E47" s="160"/>
      <c r="F47" s="170"/>
      <c r="G47" s="171"/>
      <c r="H47" s="198"/>
      <c r="I47" s="163"/>
      <c r="J47" s="198"/>
      <c r="K47" s="217"/>
      <c r="L47" s="200"/>
      <c r="M47" s="200"/>
      <c r="N47" s="200"/>
      <c r="O47" s="200"/>
    </row>
    <row r="48" spans="1:15" ht="13.5" thickBot="1">
      <c r="A48" s="243"/>
      <c r="B48" s="244" t="s">
        <v>30</v>
      </c>
      <c r="C48" s="244"/>
      <c r="D48" s="186"/>
      <c r="E48" s="186"/>
      <c r="F48" s="234"/>
      <c r="G48" s="235"/>
      <c r="H48" s="189"/>
      <c r="I48" s="236"/>
      <c r="J48" s="189">
        <f>SUM(J39:J46)</f>
        <v>0</v>
      </c>
      <c r="K48" s="217"/>
      <c r="L48" s="200"/>
      <c r="M48" s="200"/>
      <c r="N48" s="200"/>
      <c r="O48" s="200"/>
    </row>
    <row r="49" spans="1:11" ht="13.5" thickTop="1">
      <c r="A49" s="245"/>
      <c r="B49" s="246"/>
      <c r="C49" s="246"/>
      <c r="D49" s="165"/>
      <c r="E49" s="165"/>
      <c r="F49" s="166"/>
      <c r="G49" s="167"/>
      <c r="H49" s="194"/>
      <c r="I49" s="169"/>
      <c r="J49" s="194"/>
      <c r="K49" s="242"/>
    </row>
    <row r="50" spans="1:11" ht="15.75">
      <c r="A50" s="247" t="s">
        <v>67</v>
      </c>
      <c r="B50" s="248" t="s">
        <v>31</v>
      </c>
      <c r="C50" s="248"/>
      <c r="D50" s="192"/>
      <c r="E50" s="192"/>
      <c r="F50" s="166"/>
      <c r="G50" s="167"/>
      <c r="H50" s="150"/>
      <c r="I50" s="163"/>
      <c r="J50" s="198"/>
      <c r="K50" s="242"/>
    </row>
    <row r="51" spans="1:11">
      <c r="A51" s="172"/>
      <c r="B51" s="249"/>
      <c r="C51" s="249"/>
      <c r="D51" s="250"/>
      <c r="E51" s="250"/>
      <c r="F51" s="170"/>
      <c r="G51" s="171"/>
      <c r="H51" s="150"/>
      <c r="I51" s="163"/>
      <c r="J51" s="198"/>
      <c r="K51" s="242"/>
    </row>
    <row r="52" spans="1:11" ht="25.5">
      <c r="A52" s="172" t="s">
        <v>58</v>
      </c>
      <c r="B52" s="173" t="s">
        <v>32</v>
      </c>
      <c r="C52" s="173"/>
      <c r="D52" s="251" t="s">
        <v>60</v>
      </c>
      <c r="E52" s="179"/>
      <c r="F52" s="175">
        <f>F9</f>
        <v>16.059999999999999</v>
      </c>
      <c r="G52" s="167"/>
      <c r="H52" s="213"/>
      <c r="I52" s="163"/>
      <c r="J52" s="202">
        <f>F52*H52</f>
        <v>0</v>
      </c>
      <c r="K52" s="242"/>
    </row>
    <row r="53" spans="1:11">
      <c r="A53" s="172"/>
      <c r="B53" s="173"/>
      <c r="C53" s="173"/>
      <c r="D53" s="179"/>
      <c r="E53" s="179"/>
      <c r="F53" s="170"/>
      <c r="G53" s="171"/>
      <c r="H53" s="150"/>
      <c r="I53" s="163"/>
      <c r="J53" s="198"/>
      <c r="K53" s="242"/>
    </row>
    <row r="54" spans="1:11">
      <c r="A54" s="172" t="s">
        <v>67</v>
      </c>
      <c r="B54" s="173" t="s">
        <v>33</v>
      </c>
      <c r="C54" s="173"/>
      <c r="D54" s="251" t="s">
        <v>60</v>
      </c>
      <c r="E54" s="179"/>
      <c r="F54" s="175">
        <f>F9</f>
        <v>16.059999999999999</v>
      </c>
      <c r="G54" s="167"/>
      <c r="H54" s="213"/>
      <c r="I54" s="163"/>
      <c r="J54" s="202">
        <f>F54*H54</f>
        <v>0</v>
      </c>
      <c r="K54" s="242"/>
    </row>
    <row r="55" spans="1:11">
      <c r="A55" s="172"/>
      <c r="B55" s="173"/>
      <c r="C55" s="173"/>
      <c r="D55" s="179"/>
      <c r="E55" s="179"/>
      <c r="F55" s="170"/>
      <c r="G55" s="171"/>
      <c r="H55" s="150"/>
      <c r="I55" s="163"/>
      <c r="J55" s="198"/>
      <c r="K55" s="242"/>
    </row>
    <row r="56" spans="1:11">
      <c r="A56" s="172" t="s">
        <v>68</v>
      </c>
      <c r="B56" s="173" t="s">
        <v>34</v>
      </c>
      <c r="C56" s="173"/>
      <c r="D56" s="251" t="s">
        <v>190</v>
      </c>
      <c r="E56" s="179"/>
      <c r="F56" s="175">
        <f>F43+F46</f>
        <v>1</v>
      </c>
      <c r="G56" s="167"/>
      <c r="H56" s="213"/>
      <c r="I56" s="163"/>
      <c r="J56" s="202">
        <f>F56*H56</f>
        <v>0</v>
      </c>
      <c r="K56" s="242"/>
    </row>
    <row r="57" spans="1:11">
      <c r="A57" s="172"/>
      <c r="B57" s="173"/>
      <c r="C57" s="173"/>
      <c r="D57" s="179"/>
      <c r="E57" s="179"/>
      <c r="F57" s="170"/>
      <c r="G57" s="171"/>
      <c r="H57" s="150"/>
      <c r="I57" s="163"/>
      <c r="J57" s="198"/>
      <c r="K57" s="242"/>
    </row>
    <row r="58" spans="1:11" ht="25.5">
      <c r="A58" s="172" t="s">
        <v>69</v>
      </c>
      <c r="B58" s="173" t="s">
        <v>35</v>
      </c>
      <c r="C58" s="173"/>
      <c r="D58" s="251" t="s">
        <v>60</v>
      </c>
      <c r="E58" s="179"/>
      <c r="F58" s="175">
        <f>F9</f>
        <v>16.059999999999999</v>
      </c>
      <c r="G58" s="167"/>
      <c r="H58" s="213"/>
      <c r="I58" s="163"/>
      <c r="J58" s="202">
        <f>F58*H58</f>
        <v>0</v>
      </c>
      <c r="K58" s="242"/>
    </row>
    <row r="59" spans="1:11">
      <c r="A59" s="172"/>
      <c r="B59" s="173"/>
      <c r="C59" s="173"/>
      <c r="D59" s="179"/>
      <c r="E59" s="179"/>
      <c r="F59" s="170"/>
      <c r="G59" s="171"/>
      <c r="H59" s="150"/>
      <c r="I59" s="163"/>
      <c r="J59" s="198"/>
      <c r="K59" s="242"/>
    </row>
    <row r="60" spans="1:11" ht="13.5" thickBot="1">
      <c r="A60" s="183"/>
      <c r="B60" s="252" t="s">
        <v>36</v>
      </c>
      <c r="C60" s="252"/>
      <c r="D60" s="253"/>
      <c r="E60" s="253"/>
      <c r="F60" s="234"/>
      <c r="G60" s="235"/>
      <c r="H60" s="254"/>
      <c r="I60" s="236"/>
      <c r="J60" s="189">
        <f>SUM(J52:J58)</f>
        <v>0</v>
      </c>
      <c r="K60" s="242"/>
    </row>
    <row r="61" spans="1:11" ht="13.5" thickTop="1">
      <c r="A61" s="190"/>
      <c r="B61" s="255"/>
      <c r="C61" s="255"/>
      <c r="D61" s="256"/>
      <c r="E61" s="256"/>
      <c r="F61" s="166"/>
      <c r="G61" s="167"/>
      <c r="H61" s="168"/>
      <c r="I61" s="169"/>
      <c r="J61" s="194"/>
      <c r="K61" s="242"/>
    </row>
    <row r="62" spans="1:11">
      <c r="A62" s="190"/>
      <c r="B62" s="255"/>
      <c r="C62" s="255"/>
      <c r="D62" s="256"/>
      <c r="E62" s="256"/>
      <c r="F62" s="166"/>
      <c r="G62" s="167"/>
      <c r="H62" s="168"/>
      <c r="I62" s="169"/>
      <c r="J62" s="194"/>
      <c r="K62" s="242"/>
    </row>
    <row r="63" spans="1:11">
      <c r="A63" s="190"/>
      <c r="B63" s="255"/>
      <c r="C63" s="255"/>
      <c r="D63" s="256"/>
      <c r="E63" s="256"/>
      <c r="F63" s="166"/>
      <c r="G63" s="167"/>
      <c r="H63" s="150"/>
      <c r="I63" s="163"/>
      <c r="J63" s="198"/>
      <c r="K63" s="242"/>
    </row>
    <row r="64" spans="1:11">
      <c r="A64" s="190"/>
      <c r="B64" s="255"/>
      <c r="C64" s="255"/>
      <c r="D64" s="256"/>
      <c r="E64" s="256"/>
      <c r="F64" s="166"/>
      <c r="G64" s="167"/>
      <c r="H64" s="150"/>
      <c r="I64" s="163"/>
      <c r="J64" s="198"/>
      <c r="K64" s="242"/>
    </row>
    <row r="65" spans="1:18">
      <c r="A65" s="190"/>
      <c r="B65" s="255"/>
      <c r="C65" s="255"/>
      <c r="D65" s="256"/>
      <c r="E65" s="256"/>
      <c r="F65" s="166"/>
      <c r="G65" s="167"/>
      <c r="H65" s="150"/>
      <c r="I65" s="163"/>
      <c r="J65" s="198"/>
      <c r="K65" s="242"/>
    </row>
    <row r="66" spans="1:18">
      <c r="A66" s="190"/>
      <c r="B66" s="255"/>
      <c r="C66" s="255"/>
      <c r="D66" s="256"/>
      <c r="E66" s="256"/>
      <c r="F66" s="166"/>
      <c r="G66" s="167"/>
      <c r="H66" s="150"/>
      <c r="I66" s="163"/>
      <c r="J66" s="198"/>
      <c r="K66" s="242"/>
    </row>
    <row r="67" spans="1:18">
      <c r="A67" s="190"/>
      <c r="B67" s="255"/>
      <c r="C67" s="255"/>
      <c r="D67" s="256"/>
      <c r="E67" s="256"/>
      <c r="F67" s="166"/>
      <c r="G67" s="167"/>
      <c r="H67" s="150"/>
      <c r="I67" s="163"/>
      <c r="J67" s="198"/>
      <c r="K67" s="242"/>
    </row>
    <row r="68" spans="1:18">
      <c r="A68" s="190"/>
      <c r="B68" s="255"/>
      <c r="C68" s="255"/>
      <c r="D68" s="256"/>
      <c r="E68" s="256"/>
      <c r="F68" s="166"/>
      <c r="G68" s="167"/>
      <c r="H68" s="150"/>
      <c r="I68" s="163"/>
      <c r="J68" s="198"/>
      <c r="K68" s="242"/>
    </row>
    <row r="69" spans="1:18">
      <c r="A69" s="190"/>
      <c r="B69" s="255"/>
      <c r="C69" s="255"/>
      <c r="D69" s="256"/>
      <c r="E69" s="256"/>
      <c r="F69" s="166"/>
      <c r="G69" s="167"/>
      <c r="H69" s="150"/>
      <c r="I69" s="163"/>
      <c r="J69" s="198"/>
      <c r="K69" s="242"/>
    </row>
    <row r="70" spans="1:18">
      <c r="A70" s="172"/>
      <c r="B70" s="258"/>
      <c r="C70" s="258"/>
      <c r="D70" s="257"/>
      <c r="E70" s="257"/>
      <c r="F70" s="170"/>
      <c r="G70" s="171"/>
      <c r="H70" s="150"/>
      <c r="I70" s="163"/>
      <c r="J70" s="198"/>
      <c r="K70" s="242"/>
    </row>
    <row r="71" spans="1:18">
      <c r="B71" s="242"/>
      <c r="C71" s="242"/>
      <c r="D71" s="242"/>
      <c r="E71" s="242"/>
      <c r="F71" s="206"/>
      <c r="G71" s="242"/>
      <c r="H71" s="260"/>
      <c r="I71" s="261"/>
      <c r="J71" s="262"/>
      <c r="K71" s="242"/>
    </row>
    <row r="72" spans="1:18">
      <c r="B72" s="242"/>
      <c r="C72" s="242"/>
      <c r="D72" s="242"/>
      <c r="E72" s="242"/>
      <c r="F72" s="206"/>
      <c r="G72" s="242"/>
      <c r="H72" s="260"/>
      <c r="I72" s="261"/>
      <c r="J72" s="262"/>
      <c r="K72" s="242"/>
    </row>
    <row r="73" spans="1:18">
      <c r="B73" s="242"/>
      <c r="C73" s="242"/>
      <c r="D73" s="242"/>
      <c r="E73" s="242"/>
      <c r="F73" s="206"/>
      <c r="G73" s="242"/>
      <c r="H73" s="260"/>
      <c r="I73" s="261"/>
      <c r="J73" s="262"/>
      <c r="K73" s="242"/>
    </row>
    <row r="74" spans="1:18">
      <c r="B74" s="242"/>
      <c r="C74" s="242"/>
      <c r="D74" s="242"/>
      <c r="E74" s="242"/>
      <c r="F74" s="206"/>
      <c r="G74" s="242"/>
      <c r="H74" s="260"/>
      <c r="I74" s="261"/>
      <c r="J74" s="262"/>
      <c r="K74" s="242"/>
    </row>
    <row r="75" spans="1:18">
      <c r="B75" s="242"/>
      <c r="C75" s="242"/>
      <c r="D75" s="242"/>
      <c r="E75" s="242"/>
      <c r="F75" s="206"/>
      <c r="G75" s="242"/>
      <c r="H75" s="260"/>
      <c r="I75" s="261"/>
      <c r="J75" s="262"/>
      <c r="K75" s="242"/>
      <c r="Q75" s="259"/>
      <c r="R75" s="259"/>
    </row>
    <row r="76" spans="1:18">
      <c r="B76" s="242"/>
      <c r="C76" s="242"/>
      <c r="D76" s="242"/>
      <c r="E76" s="242"/>
      <c r="F76" s="206"/>
      <c r="G76" s="242"/>
      <c r="H76" s="260"/>
      <c r="I76" s="261"/>
      <c r="J76" s="262"/>
      <c r="K76" s="242"/>
      <c r="Q76" s="259"/>
      <c r="R76" s="259"/>
    </row>
    <row r="77" spans="1:18">
      <c r="B77" s="242"/>
      <c r="C77" s="242"/>
      <c r="D77" s="242"/>
      <c r="E77" s="242"/>
      <c r="F77" s="206"/>
      <c r="G77" s="242"/>
      <c r="H77" s="260"/>
      <c r="I77" s="261"/>
      <c r="J77" s="262"/>
      <c r="K77" s="242"/>
      <c r="Q77" s="259"/>
      <c r="R77" s="259"/>
    </row>
    <row r="78" spans="1:18">
      <c r="B78" s="242"/>
      <c r="C78" s="242"/>
      <c r="D78" s="242"/>
      <c r="E78" s="242"/>
      <c r="F78" s="206"/>
      <c r="G78" s="242"/>
      <c r="H78" s="260"/>
      <c r="I78" s="261"/>
      <c r="J78" s="262"/>
      <c r="K78" s="242"/>
      <c r="Q78" s="259"/>
      <c r="R78" s="259"/>
    </row>
    <row r="79" spans="1:18">
      <c r="B79" s="242"/>
      <c r="C79" s="242"/>
      <c r="D79" s="242"/>
      <c r="E79" s="242"/>
      <c r="F79" s="206"/>
      <c r="G79" s="242"/>
      <c r="H79" s="260"/>
      <c r="I79" s="261"/>
      <c r="J79" s="262"/>
      <c r="K79" s="242"/>
      <c r="Q79" s="259"/>
      <c r="R79" s="259"/>
    </row>
    <row r="80" spans="1:18">
      <c r="B80" s="242"/>
      <c r="C80" s="242"/>
      <c r="D80" s="242"/>
      <c r="E80" s="242"/>
      <c r="F80" s="206"/>
      <c r="G80" s="242"/>
      <c r="H80" s="260"/>
      <c r="I80" s="261"/>
      <c r="J80" s="262"/>
      <c r="K80" s="242"/>
      <c r="Q80" s="259"/>
      <c r="R80" s="259"/>
    </row>
    <row r="81" spans="2:18">
      <c r="B81" s="242"/>
      <c r="C81" s="242"/>
      <c r="D81" s="242"/>
      <c r="E81" s="242"/>
      <c r="F81" s="206"/>
      <c r="G81" s="242"/>
      <c r="H81" s="260"/>
      <c r="I81" s="261"/>
      <c r="J81" s="262"/>
      <c r="K81" s="242"/>
      <c r="Q81" s="259"/>
      <c r="R81" s="259"/>
    </row>
    <row r="82" spans="2:18">
      <c r="B82" s="242"/>
      <c r="C82" s="242"/>
      <c r="D82" s="242"/>
      <c r="E82" s="242"/>
      <c r="F82" s="206"/>
      <c r="G82" s="242"/>
      <c r="H82" s="260"/>
      <c r="I82" s="261"/>
      <c r="J82" s="262"/>
      <c r="K82" s="242"/>
      <c r="Q82" s="259"/>
      <c r="R82" s="259"/>
    </row>
    <row r="83" spans="2:18">
      <c r="B83" s="242"/>
      <c r="C83" s="242"/>
      <c r="D83" s="242"/>
      <c r="E83" s="242"/>
      <c r="F83" s="206"/>
      <c r="G83" s="242"/>
      <c r="H83" s="260"/>
      <c r="I83" s="261"/>
      <c r="J83" s="262"/>
      <c r="K83" s="242"/>
      <c r="Q83" s="259"/>
      <c r="R83" s="259"/>
    </row>
    <row r="84" spans="2:18">
      <c r="B84" s="242"/>
      <c r="C84" s="242"/>
      <c r="D84" s="242"/>
      <c r="E84" s="242"/>
      <c r="F84" s="206"/>
      <c r="G84" s="242"/>
      <c r="H84" s="260"/>
      <c r="I84" s="261"/>
      <c r="J84" s="262"/>
      <c r="K84" s="242"/>
      <c r="Q84" s="259"/>
      <c r="R84" s="259"/>
    </row>
    <row r="85" spans="2:18">
      <c r="B85" s="242"/>
      <c r="C85" s="242"/>
      <c r="D85" s="242"/>
      <c r="E85" s="242"/>
      <c r="F85" s="206"/>
      <c r="G85" s="242"/>
      <c r="H85" s="260"/>
      <c r="I85" s="261"/>
      <c r="J85" s="262"/>
      <c r="K85" s="263"/>
      <c r="L85" s="263"/>
      <c r="M85" s="264"/>
      <c r="Q85" s="259"/>
      <c r="R85" s="259"/>
    </row>
    <row r="86" spans="2:18">
      <c r="B86" s="242"/>
      <c r="C86" s="242"/>
      <c r="D86" s="242"/>
      <c r="E86" s="242"/>
      <c r="F86" s="206"/>
      <c r="G86" s="242"/>
      <c r="H86" s="260"/>
      <c r="I86" s="261"/>
      <c r="J86" s="262"/>
      <c r="K86" s="265"/>
      <c r="L86" s="265"/>
      <c r="M86" s="264"/>
    </row>
    <row r="87" spans="2:18">
      <c r="B87" s="242"/>
      <c r="C87" s="242"/>
      <c r="D87" s="242"/>
      <c r="E87" s="242"/>
      <c r="F87" s="206"/>
      <c r="G87" s="242"/>
      <c r="H87" s="260"/>
      <c r="I87" s="261"/>
      <c r="J87" s="262"/>
      <c r="K87" s="261"/>
      <c r="L87" s="261"/>
      <c r="M87" s="264"/>
    </row>
    <row r="88" spans="2:18">
      <c r="B88" s="242"/>
      <c r="C88" s="242"/>
      <c r="D88" s="242"/>
      <c r="E88" s="242"/>
      <c r="F88" s="206"/>
      <c r="G88" s="242"/>
      <c r="H88" s="260"/>
      <c r="I88" s="261"/>
      <c r="J88" s="262"/>
      <c r="K88" s="242"/>
    </row>
    <row r="89" spans="2:18">
      <c r="B89" s="242"/>
      <c r="C89" s="242"/>
      <c r="D89" s="242"/>
      <c r="E89" s="242"/>
      <c r="F89" s="206"/>
      <c r="G89" s="242"/>
      <c r="H89" s="260"/>
      <c r="I89" s="261"/>
      <c r="J89" s="262"/>
      <c r="K89" s="242"/>
    </row>
    <row r="90" spans="2:18">
      <c r="B90" s="242"/>
      <c r="C90" s="242"/>
      <c r="D90" s="242"/>
      <c r="E90" s="242"/>
      <c r="F90" s="206"/>
      <c r="G90" s="242"/>
      <c r="H90" s="260"/>
      <c r="I90" s="261"/>
      <c r="J90" s="262"/>
      <c r="K90" s="242"/>
    </row>
    <row r="91" spans="2:18">
      <c r="B91" s="242"/>
      <c r="C91" s="242"/>
      <c r="D91" s="242"/>
      <c r="E91" s="242"/>
      <c r="F91" s="206"/>
      <c r="G91" s="242"/>
      <c r="H91" s="260"/>
      <c r="I91" s="261"/>
      <c r="J91" s="262"/>
      <c r="K91" s="242"/>
    </row>
    <row r="92" spans="2:18">
      <c r="B92" s="242"/>
      <c r="C92" s="242"/>
      <c r="D92" s="242"/>
      <c r="E92" s="242"/>
      <c r="F92" s="206"/>
      <c r="G92" s="242"/>
      <c r="H92" s="260"/>
      <c r="I92" s="261"/>
      <c r="J92" s="262"/>
      <c r="K92" s="242"/>
    </row>
    <row r="93" spans="2:18">
      <c r="B93" s="242"/>
      <c r="C93" s="242"/>
      <c r="D93" s="242"/>
      <c r="E93" s="242"/>
      <c r="F93" s="206"/>
      <c r="G93" s="242"/>
      <c r="H93" s="260"/>
      <c r="I93" s="261"/>
      <c r="J93" s="262"/>
      <c r="K93" s="242"/>
    </row>
    <row r="94" spans="2:18">
      <c r="B94" s="242"/>
      <c r="C94" s="242"/>
      <c r="D94" s="242"/>
      <c r="E94" s="242"/>
      <c r="F94" s="206"/>
      <c r="G94" s="242"/>
      <c r="H94" s="260"/>
      <c r="I94" s="261"/>
      <c r="J94" s="262"/>
      <c r="K94" s="242"/>
    </row>
    <row r="95" spans="2:18">
      <c r="B95" s="242"/>
      <c r="C95" s="242"/>
      <c r="D95" s="242"/>
      <c r="E95" s="242"/>
      <c r="F95" s="206"/>
      <c r="G95" s="242"/>
      <c r="H95" s="260"/>
      <c r="I95" s="261"/>
      <c r="J95" s="262"/>
      <c r="K95" s="242"/>
    </row>
    <row r="96" spans="2:18">
      <c r="B96" s="242"/>
      <c r="C96" s="242"/>
      <c r="D96" s="242"/>
      <c r="E96" s="242"/>
      <c r="F96" s="206"/>
      <c r="G96" s="242"/>
      <c r="H96" s="260"/>
      <c r="I96" s="261"/>
      <c r="J96" s="262"/>
      <c r="K96" s="242"/>
    </row>
    <row r="97" spans="2:11">
      <c r="B97" s="242"/>
      <c r="C97" s="242"/>
      <c r="D97" s="242"/>
      <c r="E97" s="242"/>
      <c r="F97" s="206"/>
      <c r="G97" s="242"/>
      <c r="H97" s="260"/>
      <c r="I97" s="261"/>
      <c r="J97" s="262"/>
      <c r="K97" s="242"/>
    </row>
    <row r="98" spans="2:11">
      <c r="B98" s="242"/>
      <c r="C98" s="242"/>
      <c r="D98" s="242"/>
      <c r="E98" s="242"/>
      <c r="F98" s="206"/>
      <c r="G98" s="242"/>
      <c r="H98" s="260"/>
      <c r="I98" s="261"/>
      <c r="J98" s="262"/>
      <c r="K98" s="242"/>
    </row>
    <row r="99" spans="2:11">
      <c r="B99" s="242"/>
      <c r="C99" s="242"/>
      <c r="D99" s="242"/>
      <c r="E99" s="242"/>
      <c r="F99" s="206"/>
      <c r="G99" s="242"/>
      <c r="H99" s="260"/>
      <c r="I99" s="261"/>
      <c r="J99" s="262"/>
      <c r="K99" s="242"/>
    </row>
    <row r="100" spans="2:11">
      <c r="B100" s="242"/>
      <c r="C100" s="242"/>
      <c r="D100" s="242"/>
      <c r="E100" s="242"/>
      <c r="F100" s="206"/>
      <c r="G100" s="242"/>
      <c r="H100" s="260"/>
      <c r="I100" s="261"/>
      <c r="J100" s="262"/>
      <c r="K100" s="242"/>
    </row>
    <row r="101" spans="2:11">
      <c r="B101" s="242"/>
      <c r="C101" s="242"/>
      <c r="D101" s="242"/>
      <c r="E101" s="242"/>
      <c r="F101" s="206"/>
      <c r="G101" s="242"/>
      <c r="H101" s="260"/>
      <c r="I101" s="261"/>
      <c r="J101" s="262"/>
      <c r="K101" s="242"/>
    </row>
    <row r="102" spans="2:11">
      <c r="B102" s="242"/>
      <c r="C102" s="242"/>
      <c r="D102" s="242"/>
      <c r="E102" s="242"/>
      <c r="F102" s="206"/>
      <c r="G102" s="242"/>
      <c r="H102" s="260"/>
      <c r="I102" s="261"/>
      <c r="J102" s="262"/>
      <c r="K102" s="242"/>
    </row>
    <row r="103" spans="2:11">
      <c r="B103" s="242"/>
      <c r="C103" s="242"/>
      <c r="D103" s="242"/>
      <c r="E103" s="242"/>
      <c r="F103" s="206"/>
      <c r="G103" s="242"/>
      <c r="H103" s="260"/>
      <c r="I103" s="261"/>
      <c r="J103" s="262"/>
      <c r="K103" s="242"/>
    </row>
    <row r="104" spans="2:11">
      <c r="B104" s="242"/>
      <c r="C104" s="242"/>
      <c r="D104" s="242"/>
      <c r="E104" s="242"/>
      <c r="F104" s="206"/>
      <c r="G104" s="242"/>
      <c r="H104" s="260"/>
      <c r="I104" s="261"/>
      <c r="J104" s="262"/>
      <c r="K104" s="242"/>
    </row>
    <row r="105" spans="2:11">
      <c r="B105" s="242"/>
      <c r="C105" s="242"/>
      <c r="D105" s="242"/>
      <c r="E105" s="242"/>
      <c r="F105" s="206"/>
      <c r="G105" s="242"/>
      <c r="H105" s="260"/>
      <c r="I105" s="261"/>
      <c r="J105" s="262"/>
      <c r="K105" s="242"/>
    </row>
    <row r="106" spans="2:11">
      <c r="B106" s="242"/>
      <c r="C106" s="242"/>
      <c r="D106" s="242"/>
      <c r="E106" s="242"/>
      <c r="F106" s="206"/>
      <c r="G106" s="242"/>
      <c r="H106" s="260"/>
      <c r="I106" s="261"/>
      <c r="J106" s="262"/>
      <c r="K106" s="242"/>
    </row>
    <row r="107" spans="2:11">
      <c r="B107" s="242"/>
      <c r="C107" s="242"/>
      <c r="D107" s="242"/>
      <c r="E107" s="242"/>
      <c r="F107" s="206"/>
      <c r="G107" s="242"/>
      <c r="H107" s="260"/>
      <c r="I107" s="261"/>
      <c r="J107" s="262"/>
      <c r="K107" s="242"/>
    </row>
    <row r="108" spans="2:11">
      <c r="B108" s="242"/>
      <c r="C108" s="242"/>
      <c r="D108" s="242"/>
      <c r="E108" s="242"/>
      <c r="F108" s="206"/>
      <c r="G108" s="242"/>
      <c r="H108" s="260"/>
      <c r="I108" s="261"/>
      <c r="J108" s="262"/>
      <c r="K108" s="242"/>
    </row>
    <row r="109" spans="2:11">
      <c r="B109" s="242"/>
      <c r="C109" s="242"/>
      <c r="D109" s="242"/>
      <c r="E109" s="242"/>
      <c r="F109" s="206"/>
      <c r="G109" s="242"/>
      <c r="H109" s="260"/>
      <c r="I109" s="261"/>
      <c r="J109" s="262"/>
      <c r="K109" s="242"/>
    </row>
    <row r="110" spans="2:11">
      <c r="D110" s="242"/>
      <c r="E110" s="242"/>
      <c r="F110" s="206"/>
      <c r="G110" s="242"/>
      <c r="H110" s="260"/>
      <c r="I110" s="261"/>
      <c r="J110" s="262"/>
      <c r="K110" s="242"/>
    </row>
    <row r="111" spans="2:11">
      <c r="D111" s="242"/>
      <c r="E111" s="242"/>
      <c r="F111" s="206"/>
      <c r="G111" s="242"/>
      <c r="H111" s="260"/>
      <c r="I111" s="261"/>
      <c r="J111" s="262"/>
      <c r="K111" s="242"/>
    </row>
    <row r="112" spans="2:11">
      <c r="D112" s="242"/>
      <c r="E112" s="242"/>
      <c r="F112" s="206"/>
      <c r="G112" s="242"/>
      <c r="H112" s="260"/>
      <c r="I112" s="261"/>
      <c r="J112" s="262"/>
      <c r="K112" s="242"/>
    </row>
    <row r="113" spans="4:11">
      <c r="D113" s="242"/>
      <c r="E113" s="242"/>
      <c r="F113" s="206"/>
      <c r="G113" s="242"/>
      <c r="H113" s="260"/>
      <c r="I113" s="261"/>
      <c r="J113" s="262"/>
      <c r="K113" s="242"/>
    </row>
    <row r="114" spans="4:11">
      <c r="D114" s="242"/>
      <c r="E114" s="242"/>
      <c r="F114" s="206"/>
      <c r="G114" s="242"/>
      <c r="H114" s="260"/>
      <c r="I114" s="261"/>
      <c r="J114" s="262"/>
      <c r="K114" s="242"/>
    </row>
    <row r="115" spans="4:11">
      <c r="D115" s="242"/>
      <c r="E115" s="242"/>
      <c r="F115" s="206"/>
      <c r="G115" s="242"/>
      <c r="H115" s="260"/>
      <c r="I115" s="261"/>
      <c r="J115" s="262"/>
      <c r="K115" s="242"/>
    </row>
    <row r="116" spans="4:11">
      <c r="D116" s="242"/>
      <c r="E116" s="242"/>
      <c r="F116" s="206"/>
      <c r="G116" s="242"/>
      <c r="H116" s="260"/>
      <c r="I116" s="261"/>
      <c r="J116" s="262"/>
      <c r="K116" s="242"/>
    </row>
    <row r="117" spans="4:11">
      <c r="D117" s="242"/>
      <c r="E117" s="242"/>
      <c r="F117" s="206"/>
      <c r="G117" s="242"/>
      <c r="H117" s="260"/>
      <c r="I117" s="261"/>
      <c r="J117" s="262"/>
      <c r="K117" s="242"/>
    </row>
    <row r="118" spans="4:11">
      <c r="D118" s="242"/>
      <c r="E118" s="242"/>
      <c r="F118" s="206"/>
      <c r="G118" s="242"/>
      <c r="H118" s="260"/>
      <c r="I118" s="261"/>
      <c r="J118" s="262"/>
      <c r="K118" s="242"/>
    </row>
    <row r="119" spans="4:11">
      <c r="D119" s="242"/>
      <c r="E119" s="242"/>
      <c r="F119" s="206"/>
      <c r="G119" s="242"/>
      <c r="H119" s="260"/>
      <c r="I119" s="261"/>
      <c r="J119" s="262"/>
      <c r="K119" s="242"/>
    </row>
    <row r="120" spans="4:11">
      <c r="D120" s="242"/>
      <c r="E120" s="242"/>
      <c r="F120" s="206"/>
      <c r="G120" s="242"/>
      <c r="H120" s="260"/>
      <c r="I120" s="261"/>
      <c r="J120" s="262"/>
      <c r="K120" s="242"/>
    </row>
    <row r="121" spans="4:11">
      <c r="D121" s="242"/>
      <c r="E121" s="242"/>
      <c r="F121" s="206"/>
      <c r="G121" s="242"/>
      <c r="H121" s="260"/>
      <c r="I121" s="261"/>
      <c r="J121" s="262"/>
      <c r="K121" s="242"/>
    </row>
    <row r="122" spans="4:11">
      <c r="D122" s="242"/>
      <c r="E122" s="242"/>
      <c r="F122" s="206"/>
      <c r="G122" s="242"/>
      <c r="H122" s="260"/>
      <c r="I122" s="261"/>
      <c r="J122" s="262"/>
      <c r="K122" s="242"/>
    </row>
    <row r="123" spans="4:11">
      <c r="D123" s="242"/>
      <c r="E123" s="242"/>
      <c r="F123" s="206"/>
      <c r="G123" s="242"/>
      <c r="H123" s="260"/>
      <c r="I123" s="261"/>
      <c r="J123" s="262"/>
      <c r="K123" s="242"/>
    </row>
    <row r="124" spans="4:11">
      <c r="D124" s="242"/>
      <c r="E124" s="242"/>
      <c r="F124" s="206"/>
      <c r="G124" s="242"/>
      <c r="H124" s="260"/>
      <c r="I124" s="261"/>
      <c r="J124" s="262"/>
      <c r="K124" s="242"/>
    </row>
    <row r="125" spans="4:11">
      <c r="D125" s="242"/>
      <c r="E125" s="242"/>
      <c r="F125" s="206"/>
      <c r="G125" s="242"/>
      <c r="H125" s="260"/>
      <c r="I125" s="261"/>
      <c r="J125" s="262"/>
      <c r="K125" s="242"/>
    </row>
    <row r="126" spans="4:11">
      <c r="D126" s="242"/>
      <c r="E126" s="242"/>
      <c r="F126" s="206"/>
      <c r="G126" s="242"/>
      <c r="H126" s="260"/>
      <c r="I126" s="261"/>
      <c r="J126" s="262"/>
      <c r="K126" s="242"/>
    </row>
    <row r="127" spans="4:11">
      <c r="D127" s="242"/>
      <c r="E127" s="242"/>
      <c r="F127" s="206"/>
      <c r="G127" s="242"/>
      <c r="H127" s="260"/>
      <c r="I127" s="261"/>
      <c r="J127" s="262"/>
    </row>
    <row r="128" spans="4:11">
      <c r="D128" s="242"/>
      <c r="E128" s="242"/>
      <c r="F128" s="206"/>
      <c r="G128" s="242"/>
      <c r="H128" s="260"/>
      <c r="I128" s="261"/>
      <c r="J128" s="262"/>
    </row>
    <row r="129" spans="4:10">
      <c r="D129" s="242"/>
      <c r="E129" s="242"/>
      <c r="F129" s="206"/>
      <c r="G129" s="242"/>
      <c r="H129" s="260"/>
      <c r="I129" s="261"/>
      <c r="J129" s="262"/>
    </row>
    <row r="130" spans="4:10">
      <c r="D130" s="242"/>
      <c r="E130" s="242"/>
      <c r="F130" s="206"/>
      <c r="G130" s="242"/>
      <c r="H130" s="260"/>
      <c r="I130" s="261"/>
      <c r="J130" s="262"/>
    </row>
    <row r="131" spans="4:10">
      <c r="D131" s="242"/>
      <c r="E131" s="242"/>
      <c r="F131" s="206"/>
      <c r="G131" s="242"/>
      <c r="H131" s="260"/>
      <c r="I131" s="261"/>
      <c r="J131" s="262"/>
    </row>
    <row r="132" spans="4:10">
      <c r="D132" s="242"/>
      <c r="E132" s="242"/>
      <c r="F132" s="206"/>
      <c r="G132" s="242"/>
      <c r="H132" s="260"/>
      <c r="I132" s="261"/>
      <c r="J132" s="262"/>
    </row>
    <row r="133" spans="4:10">
      <c r="D133" s="242"/>
      <c r="E133" s="242"/>
      <c r="F133" s="206"/>
      <c r="G133" s="242"/>
      <c r="H133" s="260"/>
      <c r="I133" s="261"/>
      <c r="J133" s="262"/>
    </row>
    <row r="134" spans="4:10">
      <c r="D134" s="242"/>
      <c r="E134" s="242"/>
      <c r="F134" s="206"/>
      <c r="G134" s="242"/>
      <c r="H134" s="260"/>
      <c r="I134" s="266"/>
      <c r="J134" s="262"/>
    </row>
    <row r="135" spans="4:10">
      <c r="D135" s="242"/>
      <c r="E135" s="242"/>
      <c r="F135" s="206"/>
      <c r="G135" s="242"/>
      <c r="H135" s="260"/>
      <c r="I135" s="266"/>
      <c r="J135" s="262"/>
    </row>
    <row r="136" spans="4:10">
      <c r="D136" s="242"/>
      <c r="E136" s="242"/>
      <c r="F136" s="206"/>
      <c r="G136" s="242"/>
      <c r="H136" s="260"/>
      <c r="I136" s="266"/>
      <c r="J136" s="262"/>
    </row>
    <row r="137" spans="4:10">
      <c r="D137" s="242"/>
      <c r="E137" s="242"/>
      <c r="F137" s="206"/>
      <c r="G137" s="242"/>
      <c r="H137" s="260"/>
      <c r="I137" s="266"/>
      <c r="J137" s="262"/>
    </row>
    <row r="138" spans="4:10">
      <c r="D138" s="242"/>
      <c r="E138" s="242"/>
      <c r="F138" s="206"/>
      <c r="G138" s="242"/>
      <c r="H138" s="260"/>
      <c r="I138" s="266"/>
      <c r="J138" s="262"/>
    </row>
    <row r="139" spans="4:10">
      <c r="D139" s="242"/>
      <c r="E139" s="242"/>
      <c r="F139" s="206"/>
      <c r="G139" s="242"/>
      <c r="H139" s="260"/>
      <c r="I139" s="266"/>
      <c r="J139" s="262"/>
    </row>
    <row r="140" spans="4:10">
      <c r="D140" s="242"/>
      <c r="E140" s="242"/>
      <c r="F140" s="206"/>
      <c r="G140" s="242"/>
      <c r="H140" s="260"/>
      <c r="I140" s="266"/>
      <c r="J140" s="262"/>
    </row>
    <row r="141" spans="4:10">
      <c r="D141" s="242"/>
      <c r="E141" s="242"/>
      <c r="F141" s="206"/>
      <c r="G141" s="242"/>
      <c r="H141" s="260"/>
      <c r="I141" s="266"/>
      <c r="J141" s="262"/>
    </row>
    <row r="142" spans="4:10">
      <c r="D142" s="242"/>
      <c r="E142" s="242"/>
      <c r="F142" s="206"/>
      <c r="G142" s="242"/>
      <c r="H142" s="260"/>
      <c r="I142" s="266"/>
      <c r="J142" s="262"/>
    </row>
    <row r="143" spans="4:10">
      <c r="D143" s="242"/>
      <c r="E143" s="242"/>
      <c r="F143" s="206"/>
      <c r="G143" s="242"/>
      <c r="H143" s="260"/>
      <c r="I143" s="266"/>
      <c r="J143" s="262"/>
    </row>
    <row r="144" spans="4:10">
      <c r="D144" s="242"/>
      <c r="E144" s="242"/>
      <c r="F144" s="206"/>
      <c r="G144" s="242"/>
      <c r="H144" s="260"/>
      <c r="I144" s="266"/>
      <c r="J144" s="262"/>
    </row>
    <row r="145" spans="4:10">
      <c r="D145" s="242"/>
      <c r="E145" s="242"/>
      <c r="F145" s="206"/>
      <c r="G145" s="242"/>
      <c r="H145" s="260"/>
      <c r="I145" s="266"/>
      <c r="J145" s="262"/>
    </row>
    <row r="146" spans="4:10">
      <c r="D146" s="242"/>
      <c r="E146" s="242"/>
      <c r="F146" s="206"/>
      <c r="G146" s="242"/>
      <c r="H146" s="260"/>
      <c r="I146" s="266"/>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06"/>
    </row>
    <row r="180" spans="4:10">
      <c r="D180" s="242"/>
      <c r="E180" s="242"/>
      <c r="F180" s="206"/>
      <c r="G180" s="242"/>
      <c r="H180" s="260"/>
      <c r="I180" s="266"/>
      <c r="J180" s="206"/>
    </row>
    <row r="181" spans="4:10">
      <c r="D181" s="242"/>
      <c r="E181" s="242"/>
      <c r="F181" s="206"/>
      <c r="G181" s="242"/>
      <c r="H181" s="260"/>
      <c r="I181" s="266"/>
      <c r="J181" s="206"/>
    </row>
    <row r="182" spans="4:10">
      <c r="D182" s="242"/>
      <c r="E182" s="242"/>
      <c r="F182" s="206"/>
      <c r="G182" s="242"/>
      <c r="H182" s="260"/>
      <c r="I182" s="266"/>
      <c r="J182" s="206"/>
    </row>
    <row r="183" spans="4:10">
      <c r="D183" s="242"/>
      <c r="E183" s="242"/>
      <c r="F183" s="206"/>
      <c r="G183" s="242"/>
      <c r="H183" s="260"/>
      <c r="I183" s="266"/>
      <c r="J183" s="206"/>
    </row>
    <row r="184" spans="4:10">
      <c r="D184" s="242"/>
      <c r="E184" s="242"/>
      <c r="F184" s="206"/>
      <c r="G184" s="242"/>
      <c r="H184" s="260"/>
      <c r="I184" s="266"/>
      <c r="J184" s="206"/>
    </row>
    <row r="185" spans="4:10">
      <c r="D185" s="242"/>
      <c r="E185" s="242"/>
      <c r="F185" s="206"/>
      <c r="G185" s="242"/>
      <c r="H185" s="260"/>
      <c r="I185" s="266"/>
      <c r="J185" s="206"/>
    </row>
    <row r="186" spans="4:10">
      <c r="D186" s="242"/>
      <c r="E186" s="242"/>
      <c r="F186" s="206"/>
      <c r="G186" s="242"/>
      <c r="H186" s="260"/>
      <c r="I186" s="266"/>
      <c r="J186" s="206"/>
    </row>
    <row r="187" spans="4:10">
      <c r="D187" s="242"/>
      <c r="E187" s="242"/>
      <c r="F187" s="206"/>
      <c r="G187" s="242"/>
      <c r="H187" s="260"/>
      <c r="I187" s="266"/>
      <c r="J187" s="206"/>
    </row>
    <row r="188" spans="4:10">
      <c r="D188" s="242"/>
      <c r="E188" s="242"/>
      <c r="F188" s="206"/>
      <c r="G188" s="242"/>
      <c r="H188" s="260"/>
      <c r="I188" s="266"/>
      <c r="J188" s="206"/>
    </row>
    <row r="189" spans="4:10">
      <c r="D189" s="242"/>
      <c r="E189" s="242"/>
      <c r="F189" s="206"/>
      <c r="G189" s="242"/>
      <c r="H189" s="260"/>
      <c r="I189" s="266"/>
      <c r="J189" s="206"/>
    </row>
    <row r="190" spans="4:10">
      <c r="D190" s="242"/>
      <c r="E190" s="242"/>
      <c r="F190" s="206"/>
      <c r="G190" s="242"/>
      <c r="H190" s="260"/>
      <c r="I190" s="266"/>
      <c r="J190" s="206"/>
    </row>
    <row r="191" spans="4:10">
      <c r="D191" s="242"/>
      <c r="E191" s="242"/>
      <c r="F191" s="206"/>
      <c r="G191" s="242"/>
      <c r="H191" s="260"/>
      <c r="I191" s="266"/>
      <c r="J191" s="206"/>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06"/>
      <c r="I249" s="266"/>
      <c r="J249" s="206"/>
    </row>
    <row r="250" spans="4:10">
      <c r="D250" s="242"/>
      <c r="E250" s="242"/>
      <c r="F250" s="206"/>
      <c r="G250" s="242"/>
      <c r="H250" s="206"/>
      <c r="I250" s="266"/>
      <c r="J250" s="206"/>
    </row>
    <row r="251" spans="4:10">
      <c r="D251" s="242"/>
      <c r="E251" s="242"/>
      <c r="F251" s="206"/>
      <c r="G251" s="242"/>
      <c r="H251" s="206"/>
      <c r="I251" s="266"/>
      <c r="J251" s="206"/>
    </row>
    <row r="252" spans="4:10">
      <c r="D252" s="242"/>
      <c r="E252" s="242"/>
      <c r="F252" s="206"/>
      <c r="G252" s="242"/>
      <c r="H252" s="206"/>
      <c r="I252" s="266"/>
      <c r="J252" s="206"/>
    </row>
    <row r="253" spans="4:10">
      <c r="D253" s="242"/>
      <c r="E253" s="242"/>
      <c r="F253" s="206"/>
      <c r="G253" s="242"/>
      <c r="H253" s="206"/>
      <c r="I253" s="266"/>
      <c r="J253" s="206"/>
    </row>
    <row r="254" spans="4:10">
      <c r="D254" s="242"/>
      <c r="E254" s="242"/>
      <c r="F254" s="206"/>
      <c r="G254" s="242"/>
      <c r="H254" s="206"/>
      <c r="I254" s="266"/>
      <c r="J254" s="206"/>
    </row>
    <row r="255" spans="4:10">
      <c r="D255" s="242"/>
      <c r="E255" s="242"/>
      <c r="F255" s="206"/>
      <c r="G255" s="242"/>
      <c r="H255" s="206"/>
      <c r="I255" s="266"/>
      <c r="J255" s="206"/>
    </row>
    <row r="256" spans="4:10">
      <c r="D256" s="242"/>
      <c r="E256" s="242"/>
      <c r="F256" s="206"/>
      <c r="G256" s="242"/>
      <c r="H256" s="206"/>
      <c r="I256" s="266"/>
      <c r="J256" s="206"/>
    </row>
    <row r="257" spans="4:10">
      <c r="D257" s="242"/>
      <c r="E257" s="242"/>
      <c r="F257" s="206"/>
      <c r="G257" s="242"/>
      <c r="H257" s="206"/>
      <c r="I257" s="266"/>
      <c r="J257" s="206"/>
    </row>
    <row r="258" spans="4:10">
      <c r="D258" s="242"/>
      <c r="E258" s="242"/>
      <c r="F258" s="206"/>
      <c r="G258" s="242"/>
      <c r="H258" s="206"/>
      <c r="I258" s="266"/>
      <c r="J258" s="206"/>
    </row>
    <row r="259" spans="4:10">
      <c r="D259" s="242"/>
      <c r="E259" s="242"/>
      <c r="F259" s="206"/>
      <c r="G259" s="242"/>
      <c r="H259" s="206"/>
      <c r="I259" s="266"/>
      <c r="J259" s="206"/>
    </row>
    <row r="260" spans="4:10">
      <c r="D260" s="242"/>
      <c r="E260" s="242"/>
      <c r="F260" s="206"/>
      <c r="G260" s="242"/>
      <c r="H260" s="206"/>
      <c r="I260" s="266"/>
      <c r="J260" s="206"/>
    </row>
    <row r="261" spans="4:10">
      <c r="D261" s="242"/>
      <c r="E261" s="242"/>
      <c r="F261" s="206"/>
      <c r="G261" s="242"/>
      <c r="H261" s="206"/>
      <c r="I261" s="266"/>
      <c r="J261" s="206"/>
    </row>
    <row r="262" spans="4:10">
      <c r="D262" s="242"/>
      <c r="E262" s="242"/>
      <c r="F262" s="206"/>
      <c r="G262" s="242"/>
      <c r="H262" s="206"/>
      <c r="I262" s="266"/>
      <c r="J262" s="206"/>
    </row>
    <row r="263" spans="4:10">
      <c r="D263" s="242"/>
      <c r="E263" s="242"/>
      <c r="F263" s="206"/>
      <c r="G263" s="242"/>
      <c r="H263" s="206"/>
      <c r="I263" s="266"/>
      <c r="J263" s="206"/>
    </row>
    <row r="264" spans="4:10">
      <c r="D264" s="242"/>
      <c r="E264" s="242"/>
      <c r="F264" s="206"/>
      <c r="G264" s="242"/>
      <c r="H264" s="206"/>
      <c r="I264" s="266"/>
      <c r="J264" s="206"/>
    </row>
    <row r="265" spans="4:10">
      <c r="D265" s="242"/>
      <c r="E265" s="242"/>
      <c r="F265" s="206"/>
      <c r="G265" s="242"/>
      <c r="H265" s="206"/>
      <c r="I265" s="266"/>
      <c r="J265" s="206"/>
    </row>
    <row r="266" spans="4:10">
      <c r="D266" s="242"/>
      <c r="E266" s="242"/>
      <c r="F266" s="206"/>
      <c r="G266" s="242"/>
      <c r="H266" s="206"/>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D272" s="242"/>
      <c r="E272" s="242"/>
      <c r="F272" s="206"/>
      <c r="G272" s="242"/>
      <c r="H272" s="206"/>
      <c r="I272" s="266"/>
      <c r="J272" s="206"/>
    </row>
    <row r="273" spans="9:9">
      <c r="I273" s="267"/>
    </row>
    <row r="274" spans="9:9">
      <c r="I274" s="267"/>
    </row>
    <row r="275" spans="9:9">
      <c r="I275" s="267"/>
    </row>
    <row r="276" spans="9:9">
      <c r="I276" s="267"/>
    </row>
    <row r="277" spans="9:9">
      <c r="I277" s="267"/>
    </row>
    <row r="278" spans="9:9">
      <c r="I278" s="267"/>
    </row>
    <row r="279" spans="9:9">
      <c r="I279" s="267"/>
    </row>
    <row r="280" spans="9:9">
      <c r="I280" s="267"/>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284"/>
  <sheetViews>
    <sheetView view="pageBreakPreview" topLeftCell="A40" zoomScale="130" zoomScaleSheetLayoutView="130" workbookViewId="0">
      <selection activeCell="H63" sqref="H63"/>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41</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Q19</f>
        <v>289.88</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f>R13+R14</f>
        <v>15</v>
      </c>
      <c r="G11" s="167"/>
      <c r="H11" s="176"/>
      <c r="I11" s="163"/>
      <c r="J11" s="176">
        <f>F11*H11</f>
        <v>0</v>
      </c>
      <c r="K11" s="136"/>
      <c r="L11" s="136" t="s">
        <v>454</v>
      </c>
      <c r="N11">
        <v>0</v>
      </c>
      <c r="O11">
        <v>50.06</v>
      </c>
      <c r="P11">
        <v>0</v>
      </c>
      <c r="Q11">
        <v>1452.49</v>
      </c>
      <c r="R11">
        <v>1299.71</v>
      </c>
      <c r="S11">
        <v>152.78</v>
      </c>
      <c r="T11">
        <v>0</v>
      </c>
      <c r="U11">
        <v>0</v>
      </c>
      <c r="V11">
        <v>0</v>
      </c>
      <c r="W11">
        <v>1438.26</v>
      </c>
      <c r="X11">
        <v>1076.8499999999999</v>
      </c>
      <c r="Y11">
        <v>191.88</v>
      </c>
      <c r="Z11">
        <v>139.63</v>
      </c>
      <c r="AA11">
        <v>29.9</v>
      </c>
      <c r="AB11">
        <v>1076.8499999999999</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1</v>
      </c>
      <c r="G13" s="167"/>
      <c r="H13" s="176"/>
      <c r="I13" s="182"/>
      <c r="J13" s="176">
        <f>F13*H13</f>
        <v>0</v>
      </c>
      <c r="K13" s="136"/>
      <c r="L13" s="136" t="s">
        <v>179</v>
      </c>
      <c r="M13" t="s">
        <v>389</v>
      </c>
      <c r="N13">
        <v>1</v>
      </c>
      <c r="O13" t="s">
        <v>390</v>
      </c>
      <c r="P13" t="s">
        <v>391</v>
      </c>
      <c r="Q13">
        <v>1000</v>
      </c>
      <c r="R13">
        <v>12</v>
      </c>
    </row>
    <row r="14" spans="1:28" ht="14.25">
      <c r="A14" s="172"/>
      <c r="B14" s="173"/>
      <c r="C14" s="173"/>
      <c r="D14" s="165"/>
      <c r="E14" s="165"/>
      <c r="F14" s="166"/>
      <c r="G14" s="167"/>
      <c r="H14" s="168"/>
      <c r="I14" s="182"/>
      <c r="J14" s="168"/>
      <c r="K14" s="136"/>
      <c r="L14" s="136" t="s">
        <v>177</v>
      </c>
      <c r="M14" t="s">
        <v>389</v>
      </c>
      <c r="N14">
        <v>11</v>
      </c>
      <c r="O14" t="s">
        <v>392</v>
      </c>
      <c r="P14" t="s">
        <v>391</v>
      </c>
      <c r="Q14">
        <v>1000</v>
      </c>
      <c r="R14">
        <v>3</v>
      </c>
    </row>
    <row r="15" spans="1:28" ht="14.25">
      <c r="A15" s="172" t="s">
        <v>67</v>
      </c>
      <c r="B15" s="173" t="s">
        <v>74</v>
      </c>
      <c r="C15" s="173"/>
      <c r="D15" s="174" t="s">
        <v>190</v>
      </c>
      <c r="E15" s="165"/>
      <c r="F15" s="175">
        <v>1</v>
      </c>
      <c r="G15" s="167"/>
      <c r="H15" s="176"/>
      <c r="I15" s="182"/>
      <c r="J15" s="176">
        <f>F15*H15</f>
        <v>0</v>
      </c>
      <c r="K15" s="136"/>
      <c r="L15" s="136"/>
    </row>
    <row r="16" spans="1:28" ht="14.25">
      <c r="A16" s="172"/>
      <c r="B16" s="173"/>
      <c r="C16" s="173"/>
      <c r="D16" s="165"/>
      <c r="E16" s="165"/>
      <c r="F16" s="166"/>
      <c r="G16" s="167"/>
      <c r="H16" s="168"/>
      <c r="I16" s="182"/>
      <c r="J16" s="168"/>
      <c r="K16" s="136"/>
      <c r="L16" s="136"/>
    </row>
    <row r="17" spans="1:17" ht="15" thickBot="1">
      <c r="A17" s="183"/>
      <c r="B17" s="184" t="s">
        <v>75</v>
      </c>
      <c r="C17" s="184"/>
      <c r="D17" s="185"/>
      <c r="E17" s="185"/>
      <c r="F17" s="186"/>
      <c r="G17" s="185"/>
      <c r="H17" s="187"/>
      <c r="I17" s="188"/>
      <c r="J17" s="189">
        <f>SUM(J9:J15)</f>
        <v>0</v>
      </c>
      <c r="K17" s="136"/>
      <c r="L17" s="136"/>
    </row>
    <row r="18" spans="1:17" ht="15" thickTop="1">
      <c r="A18" s="190"/>
      <c r="B18" s="191"/>
      <c r="C18" s="191"/>
      <c r="D18" s="192"/>
      <c r="E18" s="192"/>
      <c r="F18" s="165"/>
      <c r="G18" s="192"/>
      <c r="H18" s="193"/>
      <c r="I18" s="182"/>
      <c r="J18" s="194"/>
      <c r="K18" s="136"/>
      <c r="L18" s="136" t="s">
        <v>221</v>
      </c>
      <c r="N18" t="s">
        <v>239</v>
      </c>
      <c r="P18" t="s">
        <v>238</v>
      </c>
      <c r="Q18" s="450" t="s">
        <v>394</v>
      </c>
    </row>
    <row r="19" spans="1:17" ht="14.25">
      <c r="A19" s="190"/>
      <c r="B19" s="191"/>
      <c r="C19" s="191"/>
      <c r="D19" s="192"/>
      <c r="E19" s="192"/>
      <c r="F19" s="165"/>
      <c r="G19" s="192"/>
      <c r="H19" s="193"/>
      <c r="I19" s="182"/>
      <c r="J19" s="194"/>
      <c r="K19" s="136"/>
      <c r="L19" s="136" t="s">
        <v>240</v>
      </c>
      <c r="N19">
        <v>311.7</v>
      </c>
      <c r="P19">
        <v>235.4</v>
      </c>
      <c r="Q19">
        <v>289.88</v>
      </c>
    </row>
    <row r="20" spans="1:17" ht="15">
      <c r="A20" s="195" t="s">
        <v>61</v>
      </c>
      <c r="B20" s="196" t="s">
        <v>76</v>
      </c>
      <c r="C20" s="196"/>
      <c r="D20" s="160"/>
      <c r="E20" s="160"/>
      <c r="F20" s="170"/>
      <c r="G20" s="171"/>
      <c r="H20" s="197"/>
      <c r="I20" s="180"/>
      <c r="J20" s="198"/>
      <c r="K20" s="136"/>
      <c r="L20" s="136"/>
    </row>
    <row r="21" spans="1:17" ht="15">
      <c r="A21" s="195"/>
      <c r="B21" s="453" t="s">
        <v>452</v>
      </c>
      <c r="C21" s="196"/>
      <c r="D21" s="160"/>
      <c r="E21" s="160"/>
      <c r="F21" s="170"/>
      <c r="G21" s="171"/>
      <c r="H21" s="197"/>
      <c r="I21" s="180"/>
      <c r="J21" s="198"/>
      <c r="K21" s="136"/>
      <c r="L21" s="136"/>
    </row>
    <row r="22" spans="1:17" ht="15">
      <c r="A22" s="195"/>
      <c r="B22" s="196"/>
      <c r="C22" s="196"/>
      <c r="D22" s="160"/>
      <c r="E22" s="160"/>
      <c r="F22" s="170"/>
      <c r="G22" s="171"/>
      <c r="H22" s="197"/>
      <c r="I22" s="180"/>
      <c r="J22" s="198"/>
      <c r="K22" s="136"/>
      <c r="L22" s="136"/>
    </row>
    <row r="23" spans="1:17" ht="51">
      <c r="A23" s="203" t="s">
        <v>61</v>
      </c>
      <c r="B23" s="204" t="s">
        <v>22</v>
      </c>
      <c r="C23" s="205"/>
      <c r="D23" s="206"/>
      <c r="E23" s="206"/>
      <c r="F23" s="207"/>
      <c r="G23" s="208"/>
      <c r="H23" s="209"/>
      <c r="I23" s="180"/>
      <c r="J23" s="194"/>
      <c r="K23" s="136"/>
      <c r="L23" s="136"/>
    </row>
    <row r="24" spans="1:17" ht="15.75">
      <c r="A24" s="210"/>
      <c r="B24" s="205" t="s">
        <v>78</v>
      </c>
      <c r="C24" s="205"/>
      <c r="D24" s="211" t="s">
        <v>108</v>
      </c>
      <c r="E24" s="206"/>
      <c r="F24" s="175">
        <f>F9*1*0.95</f>
        <v>275.38599999999997</v>
      </c>
      <c r="G24" s="208"/>
      <c r="H24" s="213"/>
      <c r="I24" s="180"/>
      <c r="J24" s="202">
        <f>F24*H24</f>
        <v>0</v>
      </c>
      <c r="K24" s="136"/>
      <c r="L24" s="136"/>
    </row>
    <row r="25" spans="1:17" ht="14.25">
      <c r="A25" s="203"/>
      <c r="B25" s="205" t="s">
        <v>79</v>
      </c>
      <c r="C25" s="205"/>
      <c r="D25" s="211" t="s">
        <v>108</v>
      </c>
      <c r="E25" s="206"/>
      <c r="F25" s="181">
        <f>F9*1*0.05</f>
        <v>14.494</v>
      </c>
      <c r="G25" s="208"/>
      <c r="H25" s="213"/>
      <c r="I25" s="180"/>
      <c r="J25" s="202">
        <f>F25*H25</f>
        <v>0</v>
      </c>
      <c r="K25" s="136"/>
      <c r="L25" s="136"/>
    </row>
    <row r="26" spans="1:17" ht="14.25">
      <c r="A26" s="203"/>
      <c r="B26" s="173"/>
      <c r="C26" s="205"/>
      <c r="D26" s="214"/>
      <c r="E26" s="206"/>
      <c r="F26" s="207"/>
      <c r="G26" s="208"/>
      <c r="H26" s="215"/>
      <c r="I26" s="180"/>
      <c r="J26" s="194"/>
      <c r="K26" s="199"/>
      <c r="L26" s="199"/>
      <c r="N26" s="200"/>
      <c r="O26" s="200"/>
    </row>
    <row r="27" spans="1:17" ht="14.25">
      <c r="A27" s="172"/>
      <c r="B27" s="173"/>
      <c r="C27" s="173"/>
      <c r="D27" s="165"/>
      <c r="E27" s="160"/>
      <c r="F27" s="222"/>
      <c r="G27" s="223"/>
      <c r="H27" s="215"/>
      <c r="I27" s="180"/>
      <c r="J27" s="194"/>
      <c r="K27" s="199"/>
      <c r="L27" s="199"/>
      <c r="N27" s="200"/>
      <c r="O27" s="200"/>
    </row>
    <row r="28" spans="1:17" ht="51">
      <c r="A28" s="172" t="s">
        <v>63</v>
      </c>
      <c r="B28" s="224" t="s">
        <v>80</v>
      </c>
      <c r="C28" s="225"/>
      <c r="D28" s="174" t="s">
        <v>108</v>
      </c>
      <c r="E28" s="160"/>
      <c r="F28" s="175">
        <f>AA11</f>
        <v>29.9</v>
      </c>
      <c r="G28" s="167"/>
      <c r="H28" s="213"/>
      <c r="I28" s="169"/>
      <c r="J28" s="202">
        <f>F28*H28</f>
        <v>0</v>
      </c>
      <c r="K28" s="200"/>
      <c r="L28" s="199"/>
      <c r="M28" s="200"/>
    </row>
    <row r="29" spans="1:17" ht="14.25">
      <c r="A29" s="172"/>
      <c r="B29" s="224"/>
      <c r="C29" s="225"/>
      <c r="D29" s="160"/>
      <c r="E29" s="160"/>
      <c r="F29" s="166"/>
      <c r="G29" s="167"/>
      <c r="H29" s="215"/>
      <c r="I29" s="169"/>
      <c r="J29" s="194"/>
      <c r="K29" s="200"/>
      <c r="L29" s="199"/>
      <c r="M29" s="200"/>
    </row>
    <row r="30" spans="1:17" ht="38.25">
      <c r="A30" s="172" t="s">
        <v>67</v>
      </c>
      <c r="B30" s="173" t="s">
        <v>24</v>
      </c>
      <c r="C30" s="225"/>
      <c r="D30" s="174" t="s">
        <v>108</v>
      </c>
      <c r="E30" s="160"/>
      <c r="F30" s="175">
        <f>Z11</f>
        <v>139.63</v>
      </c>
      <c r="G30" s="167"/>
      <c r="H30" s="213"/>
      <c r="I30" s="169"/>
      <c r="J30" s="202">
        <f>F30*H30</f>
        <v>0</v>
      </c>
      <c r="K30" s="200"/>
      <c r="L30" s="199"/>
      <c r="M30" s="200"/>
    </row>
    <row r="31" spans="1:17" ht="14.25">
      <c r="A31" s="172"/>
      <c r="B31" s="173"/>
      <c r="C31" s="225"/>
      <c r="D31" s="165"/>
      <c r="E31" s="160"/>
      <c r="F31" s="166"/>
      <c r="G31" s="167"/>
      <c r="H31" s="215"/>
      <c r="I31" s="169"/>
      <c r="J31" s="194"/>
      <c r="K31" s="200"/>
      <c r="L31" s="199"/>
      <c r="M31" s="200"/>
    </row>
    <row r="32" spans="1:17" ht="76.5">
      <c r="A32" s="172" t="s">
        <v>68</v>
      </c>
      <c r="B32" s="224" t="s">
        <v>25</v>
      </c>
      <c r="C32" s="226"/>
      <c r="D32" s="179"/>
      <c r="E32" s="179"/>
      <c r="F32" s="166"/>
      <c r="G32" s="167"/>
      <c r="H32" s="198"/>
      <c r="I32" s="163"/>
      <c r="J32" s="198"/>
      <c r="K32" s="171"/>
      <c r="L32" s="219"/>
      <c r="M32" s="200"/>
    </row>
    <row r="33" spans="1:15" ht="15">
      <c r="A33" s="172"/>
      <c r="B33" s="173" t="s">
        <v>78</v>
      </c>
      <c r="C33" s="173"/>
      <c r="D33" s="174" t="s">
        <v>108</v>
      </c>
      <c r="E33" s="160"/>
      <c r="F33" s="175">
        <f>(F24+F25-F28-F30)*0.95</f>
        <v>114.33250000000001</v>
      </c>
      <c r="G33" s="167"/>
      <c r="H33" s="213"/>
      <c r="I33" s="163"/>
      <c r="J33" s="202">
        <f>F33*H33</f>
        <v>0</v>
      </c>
      <c r="K33" s="171"/>
      <c r="L33" s="219"/>
      <c r="M33" s="200"/>
    </row>
    <row r="34" spans="1:15" ht="14.25">
      <c r="A34" s="172"/>
      <c r="B34" s="173" t="s">
        <v>79</v>
      </c>
      <c r="C34" s="173"/>
      <c r="D34" s="174" t="s">
        <v>108</v>
      </c>
      <c r="E34" s="160"/>
      <c r="F34" s="181">
        <f>(F24+F25-F28-F30)*0.05</f>
        <v>6.0175000000000018</v>
      </c>
      <c r="G34" s="167"/>
      <c r="H34" s="213"/>
      <c r="I34" s="163"/>
      <c r="J34" s="202">
        <f>F34*H34</f>
        <v>0</v>
      </c>
      <c r="K34" s="199"/>
      <c r="L34" s="199"/>
      <c r="M34" s="200"/>
      <c r="N34" s="200"/>
      <c r="O34" s="200"/>
    </row>
    <row r="35" spans="1:15" ht="14.25">
      <c r="A35" s="172"/>
      <c r="B35" s="173"/>
      <c r="C35" s="173"/>
      <c r="D35" s="165"/>
      <c r="E35" s="160"/>
      <c r="F35" s="166"/>
      <c r="G35" s="167"/>
      <c r="H35" s="215"/>
      <c r="I35" s="163"/>
      <c r="J35" s="194"/>
      <c r="K35" s="199"/>
      <c r="L35" s="199"/>
      <c r="M35" s="200"/>
      <c r="N35" s="200"/>
      <c r="O35" s="200"/>
    </row>
    <row r="36" spans="1:15" ht="25.5">
      <c r="A36" s="172" t="s">
        <v>69</v>
      </c>
      <c r="B36" s="228" t="s">
        <v>27</v>
      </c>
      <c r="C36" s="226"/>
      <c r="D36" s="174" t="s">
        <v>108</v>
      </c>
      <c r="E36" s="160"/>
      <c r="F36" s="175">
        <f>F24+F25-F33-F34</f>
        <v>169.52999999999997</v>
      </c>
      <c r="G36" s="167"/>
      <c r="H36" s="213"/>
      <c r="I36" s="163"/>
      <c r="J36" s="202">
        <f>F36*H36</f>
        <v>0</v>
      </c>
      <c r="K36" s="199"/>
      <c r="L36" s="199"/>
      <c r="M36" s="200"/>
      <c r="N36" s="200"/>
      <c r="O36" s="200"/>
    </row>
    <row r="37" spans="1:15">
      <c r="A37" s="172"/>
      <c r="B37" s="228"/>
      <c r="C37" s="226"/>
      <c r="D37" s="165"/>
      <c r="E37" s="160"/>
      <c r="F37" s="166"/>
      <c r="G37" s="167"/>
      <c r="H37" s="215"/>
      <c r="I37" s="163"/>
      <c r="J37" s="194"/>
      <c r="K37" s="217"/>
      <c r="L37" s="200"/>
      <c r="M37" s="200"/>
      <c r="N37" s="200"/>
      <c r="O37" s="200"/>
    </row>
    <row r="38" spans="1:15" ht="13.5" thickBot="1">
      <c r="A38" s="183"/>
      <c r="B38" s="232" t="s">
        <v>28</v>
      </c>
      <c r="C38" s="232"/>
      <c r="D38" s="233"/>
      <c r="E38" s="233"/>
      <c r="F38" s="234"/>
      <c r="G38" s="235"/>
      <c r="H38" s="189"/>
      <c r="I38" s="236"/>
      <c r="J38" s="189">
        <f>SUM(J22:J37)</f>
        <v>0</v>
      </c>
      <c r="K38" s="217"/>
      <c r="L38" s="200"/>
      <c r="M38" s="200"/>
      <c r="N38" s="200"/>
      <c r="O38" s="200"/>
    </row>
    <row r="39" spans="1:15" ht="13.5" thickTop="1">
      <c r="A39" s="190"/>
      <c r="B39" s="237"/>
      <c r="C39" s="237"/>
      <c r="D39" s="238"/>
      <c r="E39" s="238"/>
      <c r="F39" s="166"/>
      <c r="G39" s="167"/>
      <c r="H39" s="194"/>
      <c r="I39" s="169"/>
      <c r="J39" s="194"/>
      <c r="K39" s="217"/>
      <c r="L39" s="200"/>
      <c r="M39" s="200"/>
      <c r="N39" s="200"/>
      <c r="O39" s="200"/>
    </row>
    <row r="40" spans="1:15">
      <c r="A40" s="190"/>
      <c r="B40" s="237"/>
      <c r="C40" s="237"/>
      <c r="D40" s="238"/>
      <c r="E40" s="238"/>
      <c r="F40" s="166"/>
      <c r="G40" s="167"/>
      <c r="H40" s="194"/>
      <c r="I40" s="169"/>
      <c r="J40" s="194"/>
      <c r="K40" s="217"/>
      <c r="L40" s="200"/>
      <c r="M40" s="200"/>
      <c r="N40" s="200"/>
      <c r="O40" s="200"/>
    </row>
    <row r="41" spans="1:15" ht="15">
      <c r="A41" s="195" t="s">
        <v>63</v>
      </c>
      <c r="B41" s="239" t="s">
        <v>29</v>
      </c>
      <c r="C41" s="239"/>
      <c r="D41" s="160"/>
      <c r="E41" s="160"/>
      <c r="F41" s="170"/>
      <c r="G41" s="171"/>
      <c r="H41" s="198"/>
      <c r="I41" s="163"/>
      <c r="J41" s="198"/>
      <c r="K41" s="217"/>
      <c r="L41" s="200"/>
      <c r="M41" s="200"/>
      <c r="N41" s="200"/>
      <c r="O41" s="200"/>
    </row>
    <row r="42" spans="1:15" ht="15">
      <c r="A42" s="195"/>
      <c r="B42" s="239"/>
      <c r="C42" s="239"/>
      <c r="D42" s="160"/>
      <c r="E42" s="160"/>
      <c r="F42" s="170"/>
      <c r="G42" s="171"/>
      <c r="H42" s="198"/>
      <c r="I42" s="163"/>
      <c r="J42" s="198"/>
      <c r="K42" s="217"/>
      <c r="L42" s="200"/>
      <c r="M42" s="200"/>
    </row>
    <row r="43" spans="1:15" ht="38.25">
      <c r="A43" s="172" t="s">
        <v>58</v>
      </c>
      <c r="B43" s="226" t="s">
        <v>396</v>
      </c>
      <c r="C43" s="226"/>
      <c r="D43" s="174" t="s">
        <v>60</v>
      </c>
      <c r="E43" s="160"/>
      <c r="F43" s="240">
        <f>Q19</f>
        <v>289.88</v>
      </c>
      <c r="G43" s="223"/>
      <c r="H43" s="213"/>
      <c r="I43" s="163"/>
      <c r="J43" s="202">
        <f>F43*H43</f>
        <v>0</v>
      </c>
      <c r="K43" s="217"/>
      <c r="L43" s="200"/>
      <c r="M43" s="200"/>
      <c r="N43" s="200"/>
      <c r="O43" s="200"/>
    </row>
    <row r="44" spans="1:15">
      <c r="A44" s="172"/>
      <c r="B44" s="226"/>
      <c r="C44" s="226"/>
      <c r="D44" s="160"/>
      <c r="E44" s="160"/>
      <c r="F44" s="170"/>
      <c r="G44" s="171"/>
      <c r="H44" s="198"/>
      <c r="I44" s="163"/>
      <c r="J44" s="198"/>
      <c r="K44" s="217"/>
      <c r="L44" s="200"/>
      <c r="M44" s="200"/>
      <c r="N44" s="200"/>
      <c r="O44" s="200"/>
    </row>
    <row r="45" spans="1:15">
      <c r="A45" s="172"/>
      <c r="B45" s="226"/>
      <c r="C45" s="226"/>
      <c r="D45" s="160"/>
      <c r="E45" s="160"/>
      <c r="F45" s="170"/>
      <c r="G45" s="171"/>
      <c r="H45" s="198"/>
      <c r="I45" s="163"/>
      <c r="J45" s="198"/>
      <c r="K45" s="217"/>
      <c r="L45" s="200"/>
      <c r="M45" s="200"/>
      <c r="N45" s="200"/>
      <c r="O45" s="200"/>
    </row>
    <row r="46" spans="1:15" ht="51">
      <c r="A46" s="172" t="s">
        <v>63</v>
      </c>
      <c r="B46" s="241" t="s">
        <v>398</v>
      </c>
      <c r="C46" s="241"/>
      <c r="D46" s="165"/>
      <c r="E46" s="165"/>
      <c r="F46" s="166"/>
      <c r="G46" s="167"/>
      <c r="H46" s="198"/>
      <c r="I46" s="163"/>
      <c r="J46" s="198"/>
      <c r="K46" s="217"/>
      <c r="L46" s="200"/>
      <c r="M46" s="200"/>
      <c r="N46" s="200"/>
      <c r="O46" s="200"/>
    </row>
    <row r="47" spans="1:15">
      <c r="A47" s="172"/>
      <c r="B47" s="241"/>
      <c r="C47" s="241"/>
      <c r="D47" s="174" t="s">
        <v>190</v>
      </c>
      <c r="E47" s="165"/>
      <c r="F47" s="175">
        <f>R13</f>
        <v>12</v>
      </c>
      <c r="G47" s="167"/>
      <c r="H47" s="213"/>
      <c r="I47" s="163"/>
      <c r="J47" s="202">
        <f>F47*H47</f>
        <v>0</v>
      </c>
      <c r="K47" s="217"/>
      <c r="L47" s="200"/>
      <c r="M47" s="200"/>
      <c r="N47" s="200"/>
      <c r="O47" s="200"/>
    </row>
    <row r="48" spans="1:15">
      <c r="A48" s="172"/>
      <c r="B48" s="241"/>
      <c r="C48" s="241"/>
      <c r="D48" s="160"/>
      <c r="E48" s="160"/>
      <c r="F48" s="170"/>
      <c r="G48" s="171"/>
      <c r="H48" s="198"/>
      <c r="I48" s="163"/>
      <c r="J48" s="198"/>
      <c r="K48" s="217"/>
      <c r="L48" s="200"/>
      <c r="M48" s="200"/>
      <c r="N48" s="200"/>
      <c r="O48" s="200"/>
    </row>
    <row r="49" spans="1:15" ht="51">
      <c r="A49" s="172" t="s">
        <v>67</v>
      </c>
      <c r="B49" s="241" t="s">
        <v>397</v>
      </c>
      <c r="C49" s="241"/>
      <c r="D49" s="165"/>
      <c r="E49" s="165"/>
      <c r="F49" s="166"/>
      <c r="G49" s="167"/>
      <c r="H49" s="198"/>
      <c r="I49" s="163"/>
      <c r="J49" s="198"/>
      <c r="K49" s="217"/>
      <c r="L49" s="200"/>
      <c r="M49" s="200"/>
      <c r="N49" s="200"/>
      <c r="O49" s="200"/>
    </row>
    <row r="50" spans="1:15">
      <c r="A50" s="172"/>
      <c r="B50" s="241"/>
      <c r="C50" s="241"/>
      <c r="D50" s="174" t="s">
        <v>190</v>
      </c>
      <c r="E50" s="165"/>
      <c r="F50" s="175">
        <f>R14</f>
        <v>3</v>
      </c>
      <c r="G50" s="167"/>
      <c r="H50" s="213"/>
      <c r="I50" s="163"/>
      <c r="J50" s="202">
        <f>F50*H50</f>
        <v>0</v>
      </c>
      <c r="K50" s="217"/>
      <c r="L50" s="200"/>
      <c r="M50" s="200"/>
      <c r="N50" s="200"/>
      <c r="O50" s="200"/>
    </row>
    <row r="51" spans="1:15">
      <c r="A51" s="172"/>
      <c r="B51" s="241"/>
      <c r="C51" s="241"/>
      <c r="D51" s="160"/>
      <c r="E51" s="160"/>
      <c r="F51" s="170"/>
      <c r="G51" s="171"/>
      <c r="H51" s="198"/>
      <c r="I51" s="163"/>
      <c r="J51" s="198"/>
      <c r="K51" s="217"/>
      <c r="L51" s="200"/>
      <c r="M51" s="200"/>
      <c r="N51" s="200"/>
      <c r="O51" s="200"/>
    </row>
    <row r="52" spans="1:15" ht="13.5" thickBot="1">
      <c r="A52" s="243"/>
      <c r="B52" s="244" t="s">
        <v>30</v>
      </c>
      <c r="C52" s="244"/>
      <c r="D52" s="186"/>
      <c r="E52" s="186"/>
      <c r="F52" s="234"/>
      <c r="G52" s="235"/>
      <c r="H52" s="189"/>
      <c r="I52" s="236"/>
      <c r="J52" s="189">
        <f>SUM(J43:J50)</f>
        <v>0</v>
      </c>
      <c r="K52" s="217"/>
      <c r="L52" s="200"/>
      <c r="M52" s="200"/>
      <c r="N52" s="200"/>
      <c r="O52" s="200"/>
    </row>
    <row r="53" spans="1:15" ht="13.5" thickTop="1">
      <c r="A53" s="245"/>
      <c r="B53" s="246"/>
      <c r="C53" s="246"/>
      <c r="D53" s="165"/>
      <c r="E53" s="165"/>
      <c r="F53" s="166"/>
      <c r="G53" s="167"/>
      <c r="H53" s="194"/>
      <c r="I53" s="169"/>
      <c r="J53" s="194"/>
      <c r="K53" s="242"/>
    </row>
    <row r="54" spans="1:15" ht="15.75">
      <c r="A54" s="247" t="s">
        <v>67</v>
      </c>
      <c r="B54" s="248" t="s">
        <v>31</v>
      </c>
      <c r="C54" s="248"/>
      <c r="D54" s="192"/>
      <c r="E54" s="192"/>
      <c r="F54" s="166"/>
      <c r="G54" s="167"/>
      <c r="H54" s="150"/>
      <c r="I54" s="163"/>
      <c r="J54" s="198"/>
      <c r="K54" s="242"/>
    </row>
    <row r="55" spans="1:15">
      <c r="A55" s="172"/>
      <c r="B55" s="249"/>
      <c r="C55" s="249"/>
      <c r="D55" s="250"/>
      <c r="E55" s="250"/>
      <c r="F55" s="170"/>
      <c r="G55" s="171"/>
      <c r="H55" s="150"/>
      <c r="I55" s="163"/>
      <c r="J55" s="198"/>
      <c r="K55" s="242"/>
    </row>
    <row r="56" spans="1:15" ht="25.5">
      <c r="A56" s="172" t="s">
        <v>58</v>
      </c>
      <c r="B56" s="173" t="s">
        <v>32</v>
      </c>
      <c r="C56" s="173"/>
      <c r="D56" s="251" t="s">
        <v>60</v>
      </c>
      <c r="E56" s="179"/>
      <c r="F56" s="175">
        <f>F9</f>
        <v>289.88</v>
      </c>
      <c r="G56" s="167"/>
      <c r="H56" s="213"/>
      <c r="I56" s="163"/>
      <c r="J56" s="202">
        <f>F56*H56</f>
        <v>0</v>
      </c>
      <c r="K56" s="242"/>
    </row>
    <row r="57" spans="1:15">
      <c r="A57" s="172"/>
      <c r="B57" s="173"/>
      <c r="C57" s="173"/>
      <c r="D57" s="179"/>
      <c r="E57" s="179"/>
      <c r="F57" s="170"/>
      <c r="G57" s="171"/>
      <c r="H57" s="150"/>
      <c r="I57" s="163"/>
      <c r="J57" s="198"/>
      <c r="K57" s="242"/>
    </row>
    <row r="58" spans="1:15">
      <c r="A58" s="172" t="s">
        <v>67</v>
      </c>
      <c r="B58" s="173" t="s">
        <v>33</v>
      </c>
      <c r="C58" s="173"/>
      <c r="D58" s="251" t="s">
        <v>60</v>
      </c>
      <c r="E58" s="179"/>
      <c r="F58" s="175">
        <f>F9</f>
        <v>289.88</v>
      </c>
      <c r="G58" s="167"/>
      <c r="H58" s="213"/>
      <c r="I58" s="163"/>
      <c r="J58" s="202">
        <f>F58*H58</f>
        <v>0</v>
      </c>
      <c r="K58" s="242"/>
    </row>
    <row r="59" spans="1:15">
      <c r="A59" s="172"/>
      <c r="B59" s="173"/>
      <c r="C59" s="173"/>
      <c r="D59" s="179"/>
      <c r="E59" s="179"/>
      <c r="F59" s="170"/>
      <c r="G59" s="171"/>
      <c r="H59" s="150"/>
      <c r="I59" s="163"/>
      <c r="J59" s="198"/>
      <c r="K59" s="242"/>
    </row>
    <row r="60" spans="1:15">
      <c r="A60" s="172" t="s">
        <v>68</v>
      </c>
      <c r="B60" s="173" t="s">
        <v>34</v>
      </c>
      <c r="C60" s="173"/>
      <c r="D60" s="251" t="s">
        <v>190</v>
      </c>
      <c r="E60" s="179"/>
      <c r="F60" s="175">
        <f>F47+F50</f>
        <v>15</v>
      </c>
      <c r="G60" s="167"/>
      <c r="H60" s="213"/>
      <c r="I60" s="163"/>
      <c r="J60" s="202">
        <f>F60*H60</f>
        <v>0</v>
      </c>
      <c r="K60" s="242"/>
    </row>
    <row r="61" spans="1:15">
      <c r="A61" s="172"/>
      <c r="B61" s="173"/>
      <c r="C61" s="173"/>
      <c r="D61" s="179"/>
      <c r="E61" s="179"/>
      <c r="F61" s="170"/>
      <c r="G61" s="171"/>
      <c r="H61" s="150"/>
      <c r="I61" s="163"/>
      <c r="J61" s="198"/>
      <c r="K61" s="242"/>
    </row>
    <row r="62" spans="1:15" ht="25.5">
      <c r="A62" s="172" t="s">
        <v>69</v>
      </c>
      <c r="B62" s="173" t="s">
        <v>35</v>
      </c>
      <c r="C62" s="173"/>
      <c r="D62" s="251" t="s">
        <v>60</v>
      </c>
      <c r="E62" s="179"/>
      <c r="F62" s="175">
        <f>F9</f>
        <v>289.88</v>
      </c>
      <c r="G62" s="167"/>
      <c r="H62" s="213"/>
      <c r="I62" s="163"/>
      <c r="J62" s="202">
        <f>F62*H62</f>
        <v>0</v>
      </c>
      <c r="K62" s="242"/>
    </row>
    <row r="63" spans="1:15">
      <c r="A63" s="172"/>
      <c r="B63" s="173"/>
      <c r="C63" s="173"/>
      <c r="D63" s="179"/>
      <c r="E63" s="179"/>
      <c r="F63" s="170"/>
      <c r="G63" s="171"/>
      <c r="H63" s="150"/>
      <c r="I63" s="163"/>
      <c r="J63" s="198"/>
      <c r="K63" s="242"/>
    </row>
    <row r="64" spans="1:15" ht="13.5" thickBot="1">
      <c r="A64" s="183"/>
      <c r="B64" s="252" t="s">
        <v>36</v>
      </c>
      <c r="C64" s="252"/>
      <c r="D64" s="253"/>
      <c r="E64" s="253"/>
      <c r="F64" s="234"/>
      <c r="G64" s="235"/>
      <c r="H64" s="254"/>
      <c r="I64" s="236"/>
      <c r="J64" s="189">
        <f>SUM(J56:J62)</f>
        <v>0</v>
      </c>
      <c r="K64" s="242"/>
    </row>
    <row r="65" spans="1:18" ht="13.5" thickTop="1">
      <c r="A65" s="190"/>
      <c r="B65" s="255"/>
      <c r="C65" s="255"/>
      <c r="D65" s="256"/>
      <c r="E65" s="256"/>
      <c r="F65" s="166"/>
      <c r="G65" s="167"/>
      <c r="H65" s="168"/>
      <c r="I65" s="169"/>
      <c r="J65" s="194"/>
      <c r="K65" s="242"/>
    </row>
    <row r="66" spans="1:18">
      <c r="A66" s="190"/>
      <c r="B66" s="255"/>
      <c r="C66" s="255"/>
      <c r="D66" s="256"/>
      <c r="E66" s="256"/>
      <c r="F66" s="166"/>
      <c r="G66" s="167"/>
      <c r="H66" s="168"/>
      <c r="I66" s="169"/>
      <c r="J66" s="194"/>
      <c r="K66" s="242"/>
    </row>
    <row r="67" spans="1:18">
      <c r="A67" s="190"/>
      <c r="B67" s="255"/>
      <c r="C67" s="255"/>
      <c r="D67" s="256"/>
      <c r="E67" s="256"/>
      <c r="F67" s="166"/>
      <c r="G67" s="167"/>
      <c r="H67" s="150"/>
      <c r="I67" s="163"/>
      <c r="J67" s="198"/>
      <c r="K67" s="242"/>
    </row>
    <row r="68" spans="1:18">
      <c r="A68" s="190"/>
      <c r="B68" s="255"/>
      <c r="C68" s="255"/>
      <c r="D68" s="256"/>
      <c r="E68" s="256"/>
      <c r="F68" s="166"/>
      <c r="G68" s="167"/>
      <c r="H68" s="150"/>
      <c r="I68" s="163"/>
      <c r="J68" s="198"/>
      <c r="K68" s="242"/>
    </row>
    <row r="69" spans="1:18">
      <c r="A69" s="190"/>
      <c r="B69" s="255"/>
      <c r="C69" s="255"/>
      <c r="D69" s="256"/>
      <c r="E69" s="256"/>
      <c r="F69" s="166"/>
      <c r="G69" s="167"/>
      <c r="H69" s="150"/>
      <c r="I69" s="163"/>
      <c r="J69" s="198"/>
      <c r="K69" s="242"/>
    </row>
    <row r="70" spans="1:18">
      <c r="A70" s="190"/>
      <c r="B70" s="255"/>
      <c r="C70" s="255"/>
      <c r="D70" s="256"/>
      <c r="E70" s="256"/>
      <c r="F70" s="166"/>
      <c r="G70" s="167"/>
      <c r="H70" s="150"/>
      <c r="I70" s="163"/>
      <c r="J70" s="198"/>
      <c r="K70" s="242"/>
    </row>
    <row r="71" spans="1:18">
      <c r="A71" s="190"/>
      <c r="B71" s="255"/>
      <c r="C71" s="255"/>
      <c r="D71" s="256"/>
      <c r="E71" s="256"/>
      <c r="F71" s="166"/>
      <c r="G71" s="167"/>
      <c r="H71" s="150"/>
      <c r="I71" s="163"/>
      <c r="J71" s="198"/>
      <c r="K71" s="242"/>
    </row>
    <row r="72" spans="1:18">
      <c r="A72" s="190"/>
      <c r="B72" s="255"/>
      <c r="C72" s="255"/>
      <c r="D72" s="256"/>
      <c r="E72" s="256"/>
      <c r="F72" s="166"/>
      <c r="G72" s="167"/>
      <c r="H72" s="150"/>
      <c r="I72" s="163"/>
      <c r="J72" s="198"/>
      <c r="K72" s="242"/>
    </row>
    <row r="73" spans="1:18">
      <c r="A73" s="190"/>
      <c r="B73" s="255"/>
      <c r="C73" s="255"/>
      <c r="D73" s="256"/>
      <c r="E73" s="256"/>
      <c r="F73" s="166"/>
      <c r="G73" s="167"/>
      <c r="H73" s="150"/>
      <c r="I73" s="163"/>
      <c r="J73" s="198"/>
      <c r="K73" s="242"/>
    </row>
    <row r="74" spans="1:18">
      <c r="A74" s="172"/>
      <c r="B74" s="258"/>
      <c r="C74" s="258"/>
      <c r="D74" s="257"/>
      <c r="E74" s="257"/>
      <c r="F74" s="170"/>
      <c r="G74" s="171"/>
      <c r="H74" s="150"/>
      <c r="I74" s="163"/>
      <c r="J74" s="198"/>
      <c r="K74" s="242"/>
    </row>
    <row r="75" spans="1:18">
      <c r="B75" s="242"/>
      <c r="C75" s="242"/>
      <c r="D75" s="242"/>
      <c r="E75" s="242"/>
      <c r="F75" s="206"/>
      <c r="G75" s="242"/>
      <c r="H75" s="260"/>
      <c r="I75" s="261"/>
      <c r="J75" s="262"/>
      <c r="K75" s="242"/>
    </row>
    <row r="76" spans="1:18">
      <c r="B76" s="242"/>
      <c r="C76" s="242"/>
      <c r="D76" s="242"/>
      <c r="E76" s="242"/>
      <c r="F76" s="206"/>
      <c r="G76" s="242"/>
      <c r="H76" s="260"/>
      <c r="I76" s="261"/>
      <c r="J76" s="262"/>
      <c r="K76" s="242"/>
    </row>
    <row r="77" spans="1:18">
      <c r="B77" s="242"/>
      <c r="C77" s="242"/>
      <c r="D77" s="242"/>
      <c r="E77" s="242"/>
      <c r="F77" s="206"/>
      <c r="G77" s="242"/>
      <c r="H77" s="260"/>
      <c r="I77" s="261"/>
      <c r="J77" s="262"/>
      <c r="K77" s="242"/>
    </row>
    <row r="78" spans="1:18">
      <c r="B78" s="242"/>
      <c r="C78" s="242"/>
      <c r="D78" s="242"/>
      <c r="E78" s="242"/>
      <c r="F78" s="206"/>
      <c r="G78" s="242"/>
      <c r="H78" s="260"/>
      <c r="I78" s="261"/>
      <c r="J78" s="262"/>
      <c r="K78" s="242"/>
    </row>
    <row r="79" spans="1:18">
      <c r="B79" s="242"/>
      <c r="C79" s="242"/>
      <c r="D79" s="242"/>
      <c r="E79" s="242"/>
      <c r="F79" s="206"/>
      <c r="G79" s="242"/>
      <c r="H79" s="260"/>
      <c r="I79" s="261"/>
      <c r="J79" s="262"/>
      <c r="K79" s="242"/>
      <c r="Q79" s="259"/>
      <c r="R79" s="259"/>
    </row>
    <row r="80" spans="1:18">
      <c r="B80" s="242"/>
      <c r="C80" s="242"/>
      <c r="D80" s="242"/>
      <c r="E80" s="242"/>
      <c r="F80" s="206"/>
      <c r="G80" s="242"/>
      <c r="H80" s="260"/>
      <c r="I80" s="261"/>
      <c r="J80" s="262"/>
      <c r="K80" s="242"/>
      <c r="Q80" s="259"/>
      <c r="R80" s="259"/>
    </row>
    <row r="81" spans="2:18">
      <c r="B81" s="242"/>
      <c r="C81" s="242"/>
      <c r="D81" s="242"/>
      <c r="E81" s="242"/>
      <c r="F81" s="206"/>
      <c r="G81" s="242"/>
      <c r="H81" s="260"/>
      <c r="I81" s="261"/>
      <c r="J81" s="262"/>
      <c r="K81" s="242"/>
      <c r="Q81" s="259"/>
      <c r="R81" s="259"/>
    </row>
    <row r="82" spans="2:18">
      <c r="B82" s="242"/>
      <c r="C82" s="242"/>
      <c r="D82" s="242"/>
      <c r="E82" s="242"/>
      <c r="F82" s="206"/>
      <c r="G82" s="242"/>
      <c r="H82" s="260"/>
      <c r="I82" s="261"/>
      <c r="J82" s="262"/>
      <c r="K82" s="242"/>
      <c r="Q82" s="259"/>
      <c r="R82" s="259"/>
    </row>
    <row r="83" spans="2:18">
      <c r="B83" s="242"/>
      <c r="C83" s="242"/>
      <c r="D83" s="242"/>
      <c r="E83" s="242"/>
      <c r="F83" s="206"/>
      <c r="G83" s="242"/>
      <c r="H83" s="260"/>
      <c r="I83" s="261"/>
      <c r="J83" s="262"/>
      <c r="K83" s="242"/>
      <c r="Q83" s="259"/>
      <c r="R83" s="259"/>
    </row>
    <row r="84" spans="2:18">
      <c r="B84" s="242"/>
      <c r="C84" s="242"/>
      <c r="D84" s="242"/>
      <c r="E84" s="242"/>
      <c r="F84" s="206"/>
      <c r="G84" s="242"/>
      <c r="H84" s="260"/>
      <c r="I84" s="261"/>
      <c r="J84" s="262"/>
      <c r="K84" s="242"/>
      <c r="Q84" s="259"/>
      <c r="R84" s="259"/>
    </row>
    <row r="85" spans="2:18">
      <c r="B85" s="242"/>
      <c r="C85" s="242"/>
      <c r="D85" s="242"/>
      <c r="E85" s="242"/>
      <c r="F85" s="206"/>
      <c r="G85" s="242"/>
      <c r="H85" s="260"/>
      <c r="I85" s="261"/>
      <c r="J85" s="262"/>
      <c r="K85" s="242"/>
      <c r="Q85" s="259"/>
      <c r="R85" s="259"/>
    </row>
    <row r="86" spans="2:18">
      <c r="B86" s="242"/>
      <c r="C86" s="242"/>
      <c r="D86" s="242"/>
      <c r="E86" s="242"/>
      <c r="F86" s="206"/>
      <c r="G86" s="242"/>
      <c r="H86" s="260"/>
      <c r="I86" s="261"/>
      <c r="J86" s="262"/>
      <c r="K86" s="242"/>
      <c r="Q86" s="259"/>
      <c r="R86" s="259"/>
    </row>
    <row r="87" spans="2:18">
      <c r="B87" s="242"/>
      <c r="C87" s="242"/>
      <c r="D87" s="242"/>
      <c r="E87" s="242"/>
      <c r="F87" s="206"/>
      <c r="G87" s="242"/>
      <c r="H87" s="260"/>
      <c r="I87" s="261"/>
      <c r="J87" s="262"/>
      <c r="K87" s="242"/>
      <c r="Q87" s="259"/>
      <c r="R87" s="259"/>
    </row>
    <row r="88" spans="2:18">
      <c r="B88" s="242"/>
      <c r="C88" s="242"/>
      <c r="D88" s="242"/>
      <c r="E88" s="242"/>
      <c r="F88" s="206"/>
      <c r="G88" s="242"/>
      <c r="H88" s="260"/>
      <c r="I88" s="261"/>
      <c r="J88" s="262"/>
      <c r="K88" s="242"/>
      <c r="Q88" s="259"/>
      <c r="R88" s="259"/>
    </row>
    <row r="89" spans="2:18">
      <c r="B89" s="242"/>
      <c r="C89" s="242"/>
      <c r="D89" s="242"/>
      <c r="E89" s="242"/>
      <c r="F89" s="206"/>
      <c r="G89" s="242"/>
      <c r="H89" s="260"/>
      <c r="I89" s="261"/>
      <c r="J89" s="262"/>
      <c r="K89" s="263"/>
      <c r="L89" s="263"/>
      <c r="M89" s="264"/>
      <c r="Q89" s="259"/>
      <c r="R89" s="259"/>
    </row>
    <row r="90" spans="2:18">
      <c r="B90" s="242"/>
      <c r="C90" s="242"/>
      <c r="D90" s="242"/>
      <c r="E90" s="242"/>
      <c r="F90" s="206"/>
      <c r="G90" s="242"/>
      <c r="H90" s="260"/>
      <c r="I90" s="261"/>
      <c r="J90" s="262"/>
      <c r="K90" s="265"/>
      <c r="L90" s="265"/>
      <c r="M90" s="264"/>
    </row>
    <row r="91" spans="2:18">
      <c r="B91" s="242"/>
      <c r="C91" s="242"/>
      <c r="D91" s="242"/>
      <c r="E91" s="242"/>
      <c r="F91" s="206"/>
      <c r="G91" s="242"/>
      <c r="H91" s="260"/>
      <c r="I91" s="261"/>
      <c r="J91" s="262"/>
      <c r="K91" s="261"/>
      <c r="L91" s="261"/>
      <c r="M91" s="264"/>
    </row>
    <row r="92" spans="2:18">
      <c r="B92" s="242"/>
      <c r="C92" s="242"/>
      <c r="D92" s="242"/>
      <c r="E92" s="242"/>
      <c r="F92" s="206"/>
      <c r="G92" s="242"/>
      <c r="H92" s="260"/>
      <c r="I92" s="261"/>
      <c r="J92" s="262"/>
      <c r="K92" s="242"/>
    </row>
    <row r="93" spans="2:18">
      <c r="B93" s="242"/>
      <c r="C93" s="242"/>
      <c r="D93" s="242"/>
      <c r="E93" s="242"/>
      <c r="F93" s="206"/>
      <c r="G93" s="242"/>
      <c r="H93" s="260"/>
      <c r="I93" s="261"/>
      <c r="J93" s="262"/>
      <c r="K93" s="242"/>
    </row>
    <row r="94" spans="2:18">
      <c r="B94" s="242"/>
      <c r="C94" s="242"/>
      <c r="D94" s="242"/>
      <c r="E94" s="242"/>
      <c r="F94" s="206"/>
      <c r="G94" s="242"/>
      <c r="H94" s="260"/>
      <c r="I94" s="261"/>
      <c r="J94" s="262"/>
      <c r="K94" s="242"/>
    </row>
    <row r="95" spans="2:18">
      <c r="B95" s="242"/>
      <c r="C95" s="242"/>
      <c r="D95" s="242"/>
      <c r="E95" s="242"/>
      <c r="F95" s="206"/>
      <c r="G95" s="242"/>
      <c r="H95" s="260"/>
      <c r="I95" s="261"/>
      <c r="J95" s="262"/>
      <c r="K95" s="242"/>
    </row>
    <row r="96" spans="2:18">
      <c r="B96" s="242"/>
      <c r="C96" s="242"/>
      <c r="D96" s="242"/>
      <c r="E96" s="242"/>
      <c r="F96" s="206"/>
      <c r="G96" s="242"/>
      <c r="H96" s="260"/>
      <c r="I96" s="261"/>
      <c r="J96" s="262"/>
      <c r="K96" s="242"/>
    </row>
    <row r="97" spans="2:11">
      <c r="B97" s="242"/>
      <c r="C97" s="242"/>
      <c r="D97" s="242"/>
      <c r="E97" s="242"/>
      <c r="F97" s="206"/>
      <c r="G97" s="242"/>
      <c r="H97" s="260"/>
      <c r="I97" s="261"/>
      <c r="J97" s="262"/>
      <c r="K97" s="242"/>
    </row>
    <row r="98" spans="2:11">
      <c r="B98" s="242"/>
      <c r="C98" s="242"/>
      <c r="D98" s="242"/>
      <c r="E98" s="242"/>
      <c r="F98" s="206"/>
      <c r="G98" s="242"/>
      <c r="H98" s="260"/>
      <c r="I98" s="261"/>
      <c r="J98" s="262"/>
      <c r="K98" s="242"/>
    </row>
    <row r="99" spans="2:11">
      <c r="B99" s="242"/>
      <c r="C99" s="242"/>
      <c r="D99" s="242"/>
      <c r="E99" s="242"/>
      <c r="F99" s="206"/>
      <c r="G99" s="242"/>
      <c r="H99" s="260"/>
      <c r="I99" s="261"/>
      <c r="J99" s="262"/>
      <c r="K99" s="242"/>
    </row>
    <row r="100" spans="2:11">
      <c r="B100" s="242"/>
      <c r="C100" s="242"/>
      <c r="D100" s="242"/>
      <c r="E100" s="242"/>
      <c r="F100" s="206"/>
      <c r="G100" s="242"/>
      <c r="H100" s="260"/>
      <c r="I100" s="261"/>
      <c r="J100" s="262"/>
      <c r="K100" s="242"/>
    </row>
    <row r="101" spans="2:11">
      <c r="B101" s="242"/>
      <c r="C101" s="242"/>
      <c r="D101" s="242"/>
      <c r="E101" s="242"/>
      <c r="F101" s="206"/>
      <c r="G101" s="242"/>
      <c r="H101" s="260"/>
      <c r="I101" s="261"/>
      <c r="J101" s="262"/>
      <c r="K101" s="242"/>
    </row>
    <row r="102" spans="2:11">
      <c r="B102" s="242"/>
      <c r="C102" s="242"/>
      <c r="D102" s="242"/>
      <c r="E102" s="242"/>
      <c r="F102" s="206"/>
      <c r="G102" s="242"/>
      <c r="H102" s="260"/>
      <c r="I102" s="261"/>
      <c r="J102" s="262"/>
      <c r="K102" s="242"/>
    </row>
    <row r="103" spans="2:11">
      <c r="B103" s="242"/>
      <c r="C103" s="242"/>
      <c r="D103" s="242"/>
      <c r="E103" s="242"/>
      <c r="F103" s="206"/>
      <c r="G103" s="242"/>
      <c r="H103" s="260"/>
      <c r="I103" s="261"/>
      <c r="J103" s="262"/>
      <c r="K103" s="242"/>
    </row>
    <row r="104" spans="2:11">
      <c r="B104" s="242"/>
      <c r="C104" s="242"/>
      <c r="D104" s="242"/>
      <c r="E104" s="242"/>
      <c r="F104" s="206"/>
      <c r="G104" s="242"/>
      <c r="H104" s="260"/>
      <c r="I104" s="261"/>
      <c r="J104" s="262"/>
      <c r="K104" s="242"/>
    </row>
    <row r="105" spans="2:11">
      <c r="B105" s="242"/>
      <c r="C105" s="242"/>
      <c r="D105" s="242"/>
      <c r="E105" s="242"/>
      <c r="F105" s="206"/>
      <c r="G105" s="242"/>
      <c r="H105" s="260"/>
      <c r="I105" s="261"/>
      <c r="J105" s="262"/>
      <c r="K105" s="242"/>
    </row>
    <row r="106" spans="2:11">
      <c r="B106" s="242"/>
      <c r="C106" s="242"/>
      <c r="D106" s="242"/>
      <c r="E106" s="242"/>
      <c r="F106" s="206"/>
      <c r="G106" s="242"/>
      <c r="H106" s="260"/>
      <c r="I106" s="261"/>
      <c r="J106" s="262"/>
      <c r="K106" s="242"/>
    </row>
    <row r="107" spans="2:11">
      <c r="B107" s="242"/>
      <c r="C107" s="242"/>
      <c r="D107" s="242"/>
      <c r="E107" s="242"/>
      <c r="F107" s="206"/>
      <c r="G107" s="242"/>
      <c r="H107" s="260"/>
      <c r="I107" s="261"/>
      <c r="J107" s="262"/>
      <c r="K107" s="242"/>
    </row>
    <row r="108" spans="2:11">
      <c r="B108" s="242"/>
      <c r="C108" s="242"/>
      <c r="D108" s="242"/>
      <c r="E108" s="242"/>
      <c r="F108" s="206"/>
      <c r="G108" s="242"/>
      <c r="H108" s="260"/>
      <c r="I108" s="261"/>
      <c r="J108" s="262"/>
      <c r="K108" s="242"/>
    </row>
    <row r="109" spans="2:11">
      <c r="B109" s="242"/>
      <c r="C109" s="242"/>
      <c r="D109" s="242"/>
      <c r="E109" s="242"/>
      <c r="F109" s="206"/>
      <c r="G109" s="242"/>
      <c r="H109" s="260"/>
      <c r="I109" s="261"/>
      <c r="J109" s="262"/>
      <c r="K109" s="242"/>
    </row>
    <row r="110" spans="2:11">
      <c r="B110" s="242"/>
      <c r="C110" s="242"/>
      <c r="D110" s="242"/>
      <c r="E110" s="242"/>
      <c r="F110" s="206"/>
      <c r="G110" s="242"/>
      <c r="H110" s="260"/>
      <c r="I110" s="261"/>
      <c r="J110" s="262"/>
      <c r="K110" s="242"/>
    </row>
    <row r="111" spans="2:11">
      <c r="B111" s="242"/>
      <c r="C111" s="242"/>
      <c r="D111" s="242"/>
      <c r="E111" s="242"/>
      <c r="F111" s="206"/>
      <c r="G111" s="242"/>
      <c r="H111" s="260"/>
      <c r="I111" s="261"/>
      <c r="J111" s="262"/>
      <c r="K111" s="242"/>
    </row>
    <row r="112" spans="2:11">
      <c r="B112" s="242"/>
      <c r="C112" s="242"/>
      <c r="D112" s="242"/>
      <c r="E112" s="242"/>
      <c r="F112" s="206"/>
      <c r="G112" s="242"/>
      <c r="H112" s="260"/>
      <c r="I112" s="261"/>
      <c r="J112" s="262"/>
      <c r="K112" s="242"/>
    </row>
    <row r="113" spans="2:11">
      <c r="B113" s="242"/>
      <c r="C113" s="242"/>
      <c r="D113" s="242"/>
      <c r="E113" s="242"/>
      <c r="F113" s="206"/>
      <c r="G113" s="242"/>
      <c r="H113" s="260"/>
      <c r="I113" s="261"/>
      <c r="J113" s="262"/>
      <c r="K113" s="242"/>
    </row>
    <row r="114" spans="2:11">
      <c r="D114" s="242"/>
      <c r="E114" s="242"/>
      <c r="F114" s="206"/>
      <c r="G114" s="242"/>
      <c r="H114" s="260"/>
      <c r="I114" s="261"/>
      <c r="J114" s="262"/>
      <c r="K114" s="242"/>
    </row>
    <row r="115" spans="2:11">
      <c r="D115" s="242"/>
      <c r="E115" s="242"/>
      <c r="F115" s="206"/>
      <c r="G115" s="242"/>
      <c r="H115" s="260"/>
      <c r="I115" s="261"/>
      <c r="J115" s="262"/>
      <c r="K115" s="242"/>
    </row>
    <row r="116" spans="2:11">
      <c r="D116" s="242"/>
      <c r="E116" s="242"/>
      <c r="F116" s="206"/>
      <c r="G116" s="242"/>
      <c r="H116" s="260"/>
      <c r="I116" s="261"/>
      <c r="J116" s="262"/>
      <c r="K116" s="242"/>
    </row>
    <row r="117" spans="2:11">
      <c r="D117" s="242"/>
      <c r="E117" s="242"/>
      <c r="F117" s="206"/>
      <c r="G117" s="242"/>
      <c r="H117" s="260"/>
      <c r="I117" s="261"/>
      <c r="J117" s="262"/>
      <c r="K117" s="242"/>
    </row>
    <row r="118" spans="2:11">
      <c r="D118" s="242"/>
      <c r="E118" s="242"/>
      <c r="F118" s="206"/>
      <c r="G118" s="242"/>
      <c r="H118" s="260"/>
      <c r="I118" s="261"/>
      <c r="J118" s="262"/>
      <c r="K118" s="242"/>
    </row>
    <row r="119" spans="2:11">
      <c r="D119" s="242"/>
      <c r="E119" s="242"/>
      <c r="F119" s="206"/>
      <c r="G119" s="242"/>
      <c r="H119" s="260"/>
      <c r="I119" s="261"/>
      <c r="J119" s="262"/>
      <c r="K119" s="242"/>
    </row>
    <row r="120" spans="2:11">
      <c r="D120" s="242"/>
      <c r="E120" s="242"/>
      <c r="F120" s="206"/>
      <c r="G120" s="242"/>
      <c r="H120" s="260"/>
      <c r="I120" s="261"/>
      <c r="J120" s="262"/>
      <c r="K120" s="242"/>
    </row>
    <row r="121" spans="2:11">
      <c r="D121" s="242"/>
      <c r="E121" s="242"/>
      <c r="F121" s="206"/>
      <c r="G121" s="242"/>
      <c r="H121" s="260"/>
      <c r="I121" s="261"/>
      <c r="J121" s="262"/>
      <c r="K121" s="242"/>
    </row>
    <row r="122" spans="2:11">
      <c r="D122" s="242"/>
      <c r="E122" s="242"/>
      <c r="F122" s="206"/>
      <c r="G122" s="242"/>
      <c r="H122" s="260"/>
      <c r="I122" s="261"/>
      <c r="J122" s="262"/>
      <c r="K122" s="242"/>
    </row>
    <row r="123" spans="2:11">
      <c r="D123" s="242"/>
      <c r="E123" s="242"/>
      <c r="F123" s="206"/>
      <c r="G123" s="242"/>
      <c r="H123" s="260"/>
      <c r="I123" s="261"/>
      <c r="J123" s="262"/>
      <c r="K123" s="242"/>
    </row>
    <row r="124" spans="2:11">
      <c r="D124" s="242"/>
      <c r="E124" s="242"/>
      <c r="F124" s="206"/>
      <c r="G124" s="242"/>
      <c r="H124" s="260"/>
      <c r="I124" s="261"/>
      <c r="J124" s="262"/>
      <c r="K124" s="242"/>
    </row>
    <row r="125" spans="2:11">
      <c r="D125" s="242"/>
      <c r="E125" s="242"/>
      <c r="F125" s="206"/>
      <c r="G125" s="242"/>
      <c r="H125" s="260"/>
      <c r="I125" s="261"/>
      <c r="J125" s="262"/>
      <c r="K125" s="242"/>
    </row>
    <row r="126" spans="2:11">
      <c r="D126" s="242"/>
      <c r="E126" s="242"/>
      <c r="F126" s="206"/>
      <c r="G126" s="242"/>
      <c r="H126" s="260"/>
      <c r="I126" s="261"/>
      <c r="J126" s="262"/>
      <c r="K126" s="242"/>
    </row>
    <row r="127" spans="2:11">
      <c r="D127" s="242"/>
      <c r="E127" s="242"/>
      <c r="F127" s="206"/>
      <c r="G127" s="242"/>
      <c r="H127" s="260"/>
      <c r="I127" s="261"/>
      <c r="J127" s="262"/>
      <c r="K127" s="242"/>
    </row>
    <row r="128" spans="2:11">
      <c r="D128" s="242"/>
      <c r="E128" s="242"/>
      <c r="F128" s="206"/>
      <c r="G128" s="242"/>
      <c r="H128" s="260"/>
      <c r="I128" s="261"/>
      <c r="J128" s="262"/>
      <c r="K128" s="242"/>
    </row>
    <row r="129" spans="4:11">
      <c r="D129" s="242"/>
      <c r="E129" s="242"/>
      <c r="F129" s="206"/>
      <c r="G129" s="242"/>
      <c r="H129" s="260"/>
      <c r="I129" s="261"/>
      <c r="J129" s="262"/>
      <c r="K129" s="242"/>
    </row>
    <row r="130" spans="4:11">
      <c r="D130" s="242"/>
      <c r="E130" s="242"/>
      <c r="F130" s="206"/>
      <c r="G130" s="242"/>
      <c r="H130" s="260"/>
      <c r="I130" s="261"/>
      <c r="J130" s="262"/>
      <c r="K130" s="242"/>
    </row>
    <row r="131" spans="4:11">
      <c r="D131" s="242"/>
      <c r="E131" s="242"/>
      <c r="F131" s="206"/>
      <c r="G131" s="242"/>
      <c r="H131" s="260"/>
      <c r="I131" s="261"/>
      <c r="J131" s="262"/>
    </row>
    <row r="132" spans="4:11">
      <c r="D132" s="242"/>
      <c r="E132" s="242"/>
      <c r="F132" s="206"/>
      <c r="G132" s="242"/>
      <c r="H132" s="260"/>
      <c r="I132" s="261"/>
      <c r="J132" s="262"/>
    </row>
    <row r="133" spans="4:11">
      <c r="D133" s="242"/>
      <c r="E133" s="242"/>
      <c r="F133" s="206"/>
      <c r="G133" s="242"/>
      <c r="H133" s="260"/>
      <c r="I133" s="261"/>
      <c r="J133" s="262"/>
    </row>
    <row r="134" spans="4:11">
      <c r="D134" s="242"/>
      <c r="E134" s="242"/>
      <c r="F134" s="206"/>
      <c r="G134" s="242"/>
      <c r="H134" s="260"/>
      <c r="I134" s="261"/>
      <c r="J134" s="262"/>
    </row>
    <row r="135" spans="4:11">
      <c r="D135" s="242"/>
      <c r="E135" s="242"/>
      <c r="F135" s="206"/>
      <c r="G135" s="242"/>
      <c r="H135" s="260"/>
      <c r="I135" s="261"/>
      <c r="J135" s="262"/>
    </row>
    <row r="136" spans="4:11">
      <c r="D136" s="242"/>
      <c r="E136" s="242"/>
      <c r="F136" s="206"/>
      <c r="G136" s="242"/>
      <c r="H136" s="260"/>
      <c r="I136" s="261"/>
      <c r="J136" s="262"/>
    </row>
    <row r="137" spans="4:11">
      <c r="D137" s="242"/>
      <c r="E137" s="242"/>
      <c r="F137" s="206"/>
      <c r="G137" s="242"/>
      <c r="H137" s="260"/>
      <c r="I137" s="261"/>
      <c r="J137" s="262"/>
    </row>
    <row r="138" spans="4:11">
      <c r="D138" s="242"/>
      <c r="E138" s="242"/>
      <c r="F138" s="206"/>
      <c r="G138" s="242"/>
      <c r="H138" s="260"/>
      <c r="I138" s="266"/>
      <c r="J138" s="262"/>
    </row>
    <row r="139" spans="4:11">
      <c r="D139" s="242"/>
      <c r="E139" s="242"/>
      <c r="F139" s="206"/>
      <c r="G139" s="242"/>
      <c r="H139" s="260"/>
      <c r="I139" s="266"/>
      <c r="J139" s="262"/>
    </row>
    <row r="140" spans="4:11">
      <c r="D140" s="242"/>
      <c r="E140" s="242"/>
      <c r="F140" s="206"/>
      <c r="G140" s="242"/>
      <c r="H140" s="260"/>
      <c r="I140" s="266"/>
      <c r="J140" s="262"/>
    </row>
    <row r="141" spans="4:11">
      <c r="D141" s="242"/>
      <c r="E141" s="242"/>
      <c r="F141" s="206"/>
      <c r="G141" s="242"/>
      <c r="H141" s="260"/>
      <c r="I141" s="266"/>
      <c r="J141" s="262"/>
    </row>
    <row r="142" spans="4:11">
      <c r="D142" s="242"/>
      <c r="E142" s="242"/>
      <c r="F142" s="206"/>
      <c r="G142" s="242"/>
      <c r="H142" s="260"/>
      <c r="I142" s="266"/>
      <c r="J142" s="262"/>
    </row>
    <row r="143" spans="4:11">
      <c r="D143" s="242"/>
      <c r="E143" s="242"/>
      <c r="F143" s="206"/>
      <c r="G143" s="242"/>
      <c r="H143" s="260"/>
      <c r="I143" s="266"/>
      <c r="J143" s="262"/>
    </row>
    <row r="144" spans="4:11">
      <c r="D144" s="242"/>
      <c r="E144" s="242"/>
      <c r="F144" s="206"/>
      <c r="G144" s="242"/>
      <c r="H144" s="260"/>
      <c r="I144" s="266"/>
      <c r="J144" s="262"/>
    </row>
    <row r="145" spans="4:10">
      <c r="D145" s="242"/>
      <c r="E145" s="242"/>
      <c r="F145" s="206"/>
      <c r="G145" s="242"/>
      <c r="H145" s="260"/>
      <c r="I145" s="266"/>
      <c r="J145" s="262"/>
    </row>
    <row r="146" spans="4:10">
      <c r="D146" s="242"/>
      <c r="E146" s="242"/>
      <c r="F146" s="206"/>
      <c r="G146" s="242"/>
      <c r="H146" s="260"/>
      <c r="I146" s="266"/>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06"/>
    </row>
    <row r="184" spans="4:10">
      <c r="D184" s="242"/>
      <c r="E184" s="242"/>
      <c r="F184" s="206"/>
      <c r="G184" s="242"/>
      <c r="H184" s="260"/>
      <c r="I184" s="266"/>
      <c r="J184" s="206"/>
    </row>
    <row r="185" spans="4:10">
      <c r="D185" s="242"/>
      <c r="E185" s="242"/>
      <c r="F185" s="206"/>
      <c r="G185" s="242"/>
      <c r="H185" s="260"/>
      <c r="I185" s="266"/>
      <c r="J185" s="206"/>
    </row>
    <row r="186" spans="4:10">
      <c r="D186" s="242"/>
      <c r="E186" s="242"/>
      <c r="F186" s="206"/>
      <c r="G186" s="242"/>
      <c r="H186" s="260"/>
      <c r="I186" s="266"/>
      <c r="J186" s="206"/>
    </row>
    <row r="187" spans="4:10">
      <c r="D187" s="242"/>
      <c r="E187" s="242"/>
      <c r="F187" s="206"/>
      <c r="G187" s="242"/>
      <c r="H187" s="260"/>
      <c r="I187" s="266"/>
      <c r="J187" s="206"/>
    </row>
    <row r="188" spans="4:10">
      <c r="D188" s="242"/>
      <c r="E188" s="242"/>
      <c r="F188" s="206"/>
      <c r="G188" s="242"/>
      <c r="H188" s="260"/>
      <c r="I188" s="266"/>
      <c r="J188" s="206"/>
    </row>
    <row r="189" spans="4:10">
      <c r="D189" s="242"/>
      <c r="E189" s="242"/>
      <c r="F189" s="206"/>
      <c r="G189" s="242"/>
      <c r="H189" s="260"/>
      <c r="I189" s="266"/>
      <c r="J189" s="206"/>
    </row>
    <row r="190" spans="4:10">
      <c r="D190" s="242"/>
      <c r="E190" s="242"/>
      <c r="F190" s="206"/>
      <c r="G190" s="242"/>
      <c r="H190" s="260"/>
      <c r="I190" s="266"/>
      <c r="J190" s="206"/>
    </row>
    <row r="191" spans="4:10">
      <c r="D191" s="242"/>
      <c r="E191" s="242"/>
      <c r="F191" s="206"/>
      <c r="G191" s="242"/>
      <c r="H191" s="260"/>
      <c r="I191" s="266"/>
      <c r="J191" s="206"/>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06"/>
      <c r="I253" s="266"/>
      <c r="J253" s="206"/>
    </row>
    <row r="254" spans="4:10">
      <c r="D254" s="242"/>
      <c r="E254" s="242"/>
      <c r="F254" s="206"/>
      <c r="G254" s="242"/>
      <c r="H254" s="206"/>
      <c r="I254" s="266"/>
      <c r="J254" s="206"/>
    </row>
    <row r="255" spans="4:10">
      <c r="D255" s="242"/>
      <c r="E255" s="242"/>
      <c r="F255" s="206"/>
      <c r="G255" s="242"/>
      <c r="H255" s="206"/>
      <c r="I255" s="266"/>
      <c r="J255" s="206"/>
    </row>
    <row r="256" spans="4:10">
      <c r="D256" s="242"/>
      <c r="E256" s="242"/>
      <c r="F256" s="206"/>
      <c r="G256" s="242"/>
      <c r="H256" s="206"/>
      <c r="I256" s="266"/>
      <c r="J256" s="206"/>
    </row>
    <row r="257" spans="4:10">
      <c r="D257" s="242"/>
      <c r="E257" s="242"/>
      <c r="F257" s="206"/>
      <c r="G257" s="242"/>
      <c r="H257" s="206"/>
      <c r="I257" s="266"/>
      <c r="J257" s="206"/>
    </row>
    <row r="258" spans="4:10">
      <c r="D258" s="242"/>
      <c r="E258" s="242"/>
      <c r="F258" s="206"/>
      <c r="G258" s="242"/>
      <c r="H258" s="206"/>
      <c r="I258" s="266"/>
      <c r="J258" s="206"/>
    </row>
    <row r="259" spans="4:10">
      <c r="D259" s="242"/>
      <c r="E259" s="242"/>
      <c r="F259" s="206"/>
      <c r="G259" s="242"/>
      <c r="H259" s="206"/>
      <c r="I259" s="266"/>
      <c r="J259" s="206"/>
    </row>
    <row r="260" spans="4:10">
      <c r="D260" s="242"/>
      <c r="E260" s="242"/>
      <c r="F260" s="206"/>
      <c r="G260" s="242"/>
      <c r="H260" s="206"/>
      <c r="I260" s="266"/>
      <c r="J260" s="206"/>
    </row>
    <row r="261" spans="4:10">
      <c r="D261" s="242"/>
      <c r="E261" s="242"/>
      <c r="F261" s="206"/>
      <c r="G261" s="242"/>
      <c r="H261" s="206"/>
      <c r="I261" s="266"/>
      <c r="J261" s="206"/>
    </row>
    <row r="262" spans="4:10">
      <c r="D262" s="242"/>
      <c r="E262" s="242"/>
      <c r="F262" s="206"/>
      <c r="G262" s="242"/>
      <c r="H262" s="206"/>
      <c r="I262" s="266"/>
      <c r="J262" s="206"/>
    </row>
    <row r="263" spans="4:10">
      <c r="D263" s="242"/>
      <c r="E263" s="242"/>
      <c r="F263" s="206"/>
      <c r="G263" s="242"/>
      <c r="H263" s="206"/>
      <c r="I263" s="266"/>
      <c r="J263" s="206"/>
    </row>
    <row r="264" spans="4:10">
      <c r="D264" s="242"/>
      <c r="E264" s="242"/>
      <c r="F264" s="206"/>
      <c r="G264" s="242"/>
      <c r="H264" s="206"/>
      <c r="I264" s="266"/>
      <c r="J264" s="206"/>
    </row>
    <row r="265" spans="4:10">
      <c r="D265" s="242"/>
      <c r="E265" s="242"/>
      <c r="F265" s="206"/>
      <c r="G265" s="242"/>
      <c r="H265" s="206"/>
      <c r="I265" s="266"/>
      <c r="J265" s="206"/>
    </row>
    <row r="266" spans="4:10">
      <c r="D266" s="242"/>
      <c r="E266" s="242"/>
      <c r="F266" s="206"/>
      <c r="G266" s="242"/>
      <c r="H266" s="206"/>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D272" s="242"/>
      <c r="E272" s="242"/>
      <c r="F272" s="206"/>
      <c r="G272" s="242"/>
      <c r="H272" s="206"/>
      <c r="I272" s="266"/>
      <c r="J272" s="206"/>
    </row>
    <row r="273" spans="4:10">
      <c r="D273" s="242"/>
      <c r="E273" s="242"/>
      <c r="F273" s="206"/>
      <c r="G273" s="242"/>
      <c r="H273" s="206"/>
      <c r="I273" s="266"/>
      <c r="J273" s="206"/>
    </row>
    <row r="274" spans="4:10">
      <c r="D274" s="242"/>
      <c r="E274" s="242"/>
      <c r="F274" s="206"/>
      <c r="G274" s="242"/>
      <c r="H274" s="206"/>
      <c r="I274" s="266"/>
      <c r="J274" s="206"/>
    </row>
    <row r="275" spans="4:10">
      <c r="D275" s="242"/>
      <c r="E275" s="242"/>
      <c r="F275" s="206"/>
      <c r="G275" s="242"/>
      <c r="H275" s="206"/>
      <c r="I275" s="266"/>
      <c r="J275" s="206"/>
    </row>
    <row r="276" spans="4:10">
      <c r="D276" s="242"/>
      <c r="E276" s="242"/>
      <c r="F276" s="206"/>
      <c r="G276" s="242"/>
      <c r="H276" s="206"/>
      <c r="I276" s="266"/>
      <c r="J276" s="206"/>
    </row>
    <row r="277" spans="4:10">
      <c r="I277" s="267"/>
    </row>
    <row r="278" spans="4:10">
      <c r="I278" s="267"/>
    </row>
    <row r="279" spans="4:10">
      <c r="I279" s="267"/>
    </row>
    <row r="280" spans="4:10">
      <c r="I280" s="267"/>
    </row>
    <row r="281" spans="4:10">
      <c r="I281" s="267"/>
    </row>
    <row r="282" spans="4:10">
      <c r="I282" s="267"/>
    </row>
    <row r="283" spans="4:10">
      <c r="I283" s="267"/>
    </row>
    <row r="284" spans="4:10">
      <c r="I284" s="267"/>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283"/>
  <sheetViews>
    <sheetView view="pageBreakPreview" topLeftCell="A36" zoomScale="130" zoomScaleSheetLayoutView="130" workbookViewId="0">
      <selection activeCell="H62" sqref="H62"/>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41</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Q19</f>
        <v>43.81</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f>R13+R14</f>
        <v>2</v>
      </c>
      <c r="G11" s="167"/>
      <c r="H11" s="176"/>
      <c r="I11" s="163"/>
      <c r="J11" s="176">
        <f>F11*H11</f>
        <v>0</v>
      </c>
      <c r="K11" s="136"/>
      <c r="L11" s="136" t="s">
        <v>455</v>
      </c>
      <c r="N11">
        <v>0</v>
      </c>
      <c r="O11">
        <v>7.66</v>
      </c>
      <c r="P11">
        <v>0</v>
      </c>
      <c r="Q11">
        <v>226.21</v>
      </c>
      <c r="R11">
        <v>199.39</v>
      </c>
      <c r="S11">
        <v>26.82</v>
      </c>
      <c r="T11">
        <v>0</v>
      </c>
      <c r="U11">
        <v>0</v>
      </c>
      <c r="V11">
        <v>0</v>
      </c>
      <c r="W11">
        <v>224.06</v>
      </c>
      <c r="X11">
        <v>169.07</v>
      </c>
      <c r="Y11">
        <v>29.37</v>
      </c>
      <c r="Z11">
        <v>21.1</v>
      </c>
      <c r="AA11">
        <v>4.5199999999999996</v>
      </c>
      <c r="AB11">
        <v>169.07</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1</v>
      </c>
      <c r="G13" s="167"/>
      <c r="H13" s="176"/>
      <c r="I13" s="182"/>
      <c r="J13" s="176">
        <f>F13*H13</f>
        <v>0</v>
      </c>
      <c r="K13" s="136"/>
      <c r="L13" s="136" t="s">
        <v>179</v>
      </c>
      <c r="M13" t="s">
        <v>389</v>
      </c>
      <c r="N13">
        <v>1</v>
      </c>
      <c r="O13" t="s">
        <v>390</v>
      </c>
      <c r="P13" t="s">
        <v>391</v>
      </c>
      <c r="Q13">
        <v>1000</v>
      </c>
      <c r="R13">
        <v>1</v>
      </c>
    </row>
    <row r="14" spans="1:28" ht="14.25">
      <c r="A14" s="172"/>
      <c r="B14" s="173"/>
      <c r="C14" s="173"/>
      <c r="D14" s="165"/>
      <c r="E14" s="165"/>
      <c r="F14" s="166"/>
      <c r="G14" s="167"/>
      <c r="H14" s="168"/>
      <c r="I14" s="182"/>
      <c r="J14" s="168"/>
      <c r="K14" s="136"/>
      <c r="L14" s="136" t="s">
        <v>177</v>
      </c>
      <c r="M14" t="s">
        <v>389</v>
      </c>
      <c r="N14">
        <v>11</v>
      </c>
      <c r="O14" t="s">
        <v>392</v>
      </c>
      <c r="P14" t="s">
        <v>391</v>
      </c>
      <c r="Q14">
        <v>1000</v>
      </c>
      <c r="R14">
        <v>1</v>
      </c>
    </row>
    <row r="15" spans="1:28" ht="14.25">
      <c r="A15" s="172" t="s">
        <v>67</v>
      </c>
      <c r="B15" s="173" t="s">
        <v>74</v>
      </c>
      <c r="C15" s="173"/>
      <c r="D15" s="174" t="s">
        <v>190</v>
      </c>
      <c r="E15" s="165"/>
      <c r="F15" s="175">
        <v>1</v>
      </c>
      <c r="G15" s="167"/>
      <c r="H15" s="176"/>
      <c r="I15" s="182"/>
      <c r="J15" s="176">
        <f>F15*H15</f>
        <v>0</v>
      </c>
      <c r="K15" s="136"/>
      <c r="L15" s="136"/>
    </row>
    <row r="16" spans="1:28" ht="14.25">
      <c r="A16" s="172"/>
      <c r="B16" s="173"/>
      <c r="C16" s="173"/>
      <c r="D16" s="165"/>
      <c r="E16" s="165"/>
      <c r="F16" s="166"/>
      <c r="G16" s="167"/>
      <c r="H16" s="168"/>
      <c r="I16" s="182"/>
      <c r="J16" s="168"/>
      <c r="K16" s="136"/>
      <c r="L16" s="136"/>
    </row>
    <row r="17" spans="1:17" ht="15" thickBot="1">
      <c r="A17" s="183"/>
      <c r="B17" s="184" t="s">
        <v>75</v>
      </c>
      <c r="C17" s="184"/>
      <c r="D17" s="185"/>
      <c r="E17" s="185"/>
      <c r="F17" s="186"/>
      <c r="G17" s="185"/>
      <c r="H17" s="187"/>
      <c r="I17" s="188"/>
      <c r="J17" s="189">
        <f>SUM(J9:J15)</f>
        <v>0</v>
      </c>
      <c r="K17" s="136"/>
      <c r="L17" s="136"/>
    </row>
    <row r="18" spans="1:17" ht="15" thickTop="1">
      <c r="A18" s="190"/>
      <c r="B18" s="191"/>
      <c r="C18" s="191"/>
      <c r="D18" s="192"/>
      <c r="E18" s="192"/>
      <c r="F18" s="165"/>
      <c r="G18" s="192"/>
      <c r="H18" s="193"/>
      <c r="I18" s="182"/>
      <c r="J18" s="194"/>
      <c r="K18" s="136"/>
      <c r="L18" s="136" t="s">
        <v>221</v>
      </c>
      <c r="N18" t="s">
        <v>239</v>
      </c>
      <c r="P18" t="s">
        <v>238</v>
      </c>
      <c r="Q18" s="450" t="s">
        <v>394</v>
      </c>
    </row>
    <row r="19" spans="1:17" ht="14.25">
      <c r="A19" s="190"/>
      <c r="B19" s="191"/>
      <c r="C19" s="191"/>
      <c r="D19" s="192"/>
      <c r="E19" s="192"/>
      <c r="F19" s="165"/>
      <c r="G19" s="192"/>
      <c r="H19" s="193"/>
      <c r="I19" s="182"/>
      <c r="J19" s="194"/>
      <c r="K19" s="136"/>
      <c r="L19" s="136" t="s">
        <v>240</v>
      </c>
      <c r="N19">
        <v>311.7</v>
      </c>
      <c r="P19">
        <v>235.4</v>
      </c>
      <c r="Q19">
        <v>43.81</v>
      </c>
    </row>
    <row r="20" spans="1:17" ht="15">
      <c r="A20" s="195" t="s">
        <v>61</v>
      </c>
      <c r="B20" s="196" t="s">
        <v>76</v>
      </c>
      <c r="C20" s="196"/>
      <c r="D20" s="160"/>
      <c r="E20" s="160"/>
      <c r="F20" s="170"/>
      <c r="G20" s="171"/>
      <c r="H20" s="197"/>
      <c r="I20" s="180"/>
      <c r="J20" s="198"/>
      <c r="K20" s="136"/>
      <c r="L20" s="136"/>
    </row>
    <row r="21" spans="1:17" ht="15">
      <c r="A21" s="195"/>
      <c r="B21" s="453" t="s">
        <v>452</v>
      </c>
      <c r="C21" s="196"/>
      <c r="D21" s="160"/>
      <c r="E21" s="160"/>
      <c r="F21" s="170"/>
      <c r="G21" s="171"/>
      <c r="H21" s="197"/>
      <c r="I21" s="180"/>
      <c r="J21" s="198"/>
      <c r="K21" s="136"/>
      <c r="L21" s="136"/>
    </row>
    <row r="22" spans="1:17" ht="15">
      <c r="A22" s="195"/>
      <c r="B22" s="196"/>
      <c r="C22" s="196"/>
      <c r="D22" s="160"/>
      <c r="E22" s="160"/>
      <c r="F22" s="170"/>
      <c r="G22" s="171"/>
      <c r="H22" s="197"/>
      <c r="I22" s="180"/>
      <c r="J22" s="198"/>
      <c r="K22" s="136"/>
      <c r="L22" s="136"/>
    </row>
    <row r="23" spans="1:17" ht="51">
      <c r="A23" s="203" t="s">
        <v>61</v>
      </c>
      <c r="B23" s="204" t="s">
        <v>22</v>
      </c>
      <c r="C23" s="205"/>
      <c r="D23" s="206"/>
      <c r="E23" s="206"/>
      <c r="F23" s="207"/>
      <c r="G23" s="208"/>
      <c r="H23" s="209"/>
      <c r="I23" s="180"/>
      <c r="J23" s="194"/>
      <c r="K23" s="136"/>
      <c r="L23" s="136"/>
    </row>
    <row r="24" spans="1:17" ht="15.75">
      <c r="A24" s="210"/>
      <c r="B24" s="205" t="s">
        <v>78</v>
      </c>
      <c r="C24" s="205"/>
      <c r="D24" s="211" t="s">
        <v>108</v>
      </c>
      <c r="E24" s="206"/>
      <c r="F24" s="175">
        <f>F9*1*0.95</f>
        <v>41.619500000000002</v>
      </c>
      <c r="G24" s="208"/>
      <c r="H24" s="213"/>
      <c r="I24" s="180"/>
      <c r="J24" s="202">
        <f>F24*H24</f>
        <v>0</v>
      </c>
      <c r="K24" s="136"/>
      <c r="L24" s="136"/>
    </row>
    <row r="25" spans="1:17" ht="14.25">
      <c r="A25" s="203"/>
      <c r="B25" s="205" t="s">
        <v>79</v>
      </c>
      <c r="C25" s="205"/>
      <c r="D25" s="211" t="s">
        <v>108</v>
      </c>
      <c r="E25" s="206"/>
      <c r="F25" s="181">
        <f>F9*1*0.05</f>
        <v>2.1905000000000001</v>
      </c>
      <c r="G25" s="208"/>
      <c r="H25" s="213"/>
      <c r="I25" s="180"/>
      <c r="J25" s="202">
        <f>F25*H25</f>
        <v>0</v>
      </c>
      <c r="K25" s="136"/>
      <c r="L25" s="136"/>
    </row>
    <row r="26" spans="1:17" ht="14.25">
      <c r="A26" s="172"/>
      <c r="B26" s="173"/>
      <c r="C26" s="173"/>
      <c r="D26" s="165"/>
      <c r="E26" s="160"/>
      <c r="F26" s="222"/>
      <c r="G26" s="223"/>
      <c r="H26" s="215"/>
      <c r="I26" s="180"/>
      <c r="J26" s="194"/>
      <c r="K26" s="199"/>
      <c r="L26" s="199"/>
      <c r="N26" s="200"/>
      <c r="O26" s="200"/>
    </row>
    <row r="27" spans="1:17" ht="51">
      <c r="A27" s="172" t="s">
        <v>63</v>
      </c>
      <c r="B27" s="224" t="s">
        <v>80</v>
      </c>
      <c r="C27" s="225"/>
      <c r="D27" s="174" t="s">
        <v>108</v>
      </c>
      <c r="E27" s="160"/>
      <c r="F27" s="175">
        <f>AA11</f>
        <v>4.5199999999999996</v>
      </c>
      <c r="G27" s="167"/>
      <c r="H27" s="213"/>
      <c r="I27" s="169"/>
      <c r="J27" s="202">
        <f>F27*H27</f>
        <v>0</v>
      </c>
      <c r="K27" s="200"/>
      <c r="L27" s="199"/>
      <c r="M27" s="200"/>
    </row>
    <row r="28" spans="1:17" ht="14.25">
      <c r="A28" s="172"/>
      <c r="B28" s="224"/>
      <c r="C28" s="225"/>
      <c r="D28" s="160"/>
      <c r="E28" s="160"/>
      <c r="F28" s="166"/>
      <c r="G28" s="167"/>
      <c r="H28" s="215"/>
      <c r="I28" s="169"/>
      <c r="J28" s="194"/>
      <c r="K28" s="200"/>
      <c r="L28" s="199"/>
      <c r="M28" s="200"/>
    </row>
    <row r="29" spans="1:17" ht="38.25">
      <c r="A29" s="172" t="s">
        <v>67</v>
      </c>
      <c r="B29" s="173" t="s">
        <v>24</v>
      </c>
      <c r="C29" s="225"/>
      <c r="D29" s="174" t="s">
        <v>108</v>
      </c>
      <c r="E29" s="160"/>
      <c r="F29" s="175">
        <f>Z11</f>
        <v>21.1</v>
      </c>
      <c r="G29" s="167"/>
      <c r="H29" s="213"/>
      <c r="I29" s="169"/>
      <c r="J29" s="202">
        <f>F29*H29</f>
        <v>0</v>
      </c>
      <c r="K29" s="200"/>
      <c r="L29" s="199"/>
      <c r="M29" s="200"/>
    </row>
    <row r="30" spans="1:17" ht="14.25">
      <c r="A30" s="172"/>
      <c r="B30" s="173"/>
      <c r="C30" s="225"/>
      <c r="D30" s="165"/>
      <c r="E30" s="160"/>
      <c r="F30" s="166"/>
      <c r="G30" s="167"/>
      <c r="H30" s="215"/>
      <c r="I30" s="169"/>
      <c r="J30" s="194"/>
      <c r="K30" s="200"/>
      <c r="L30" s="199"/>
      <c r="M30" s="200"/>
    </row>
    <row r="31" spans="1:17" ht="76.5">
      <c r="A31" s="172" t="s">
        <v>68</v>
      </c>
      <c r="B31" s="224" t="s">
        <v>25</v>
      </c>
      <c r="C31" s="226"/>
      <c r="D31" s="179"/>
      <c r="E31" s="179"/>
      <c r="F31" s="166"/>
      <c r="G31" s="167"/>
      <c r="H31" s="198"/>
      <c r="I31" s="163"/>
      <c r="J31" s="198"/>
      <c r="K31" s="171"/>
      <c r="L31" s="219"/>
      <c r="M31" s="200"/>
    </row>
    <row r="32" spans="1:17" ht="15">
      <c r="A32" s="172"/>
      <c r="B32" s="173" t="s">
        <v>78</v>
      </c>
      <c r="C32" s="173"/>
      <c r="D32" s="174" t="s">
        <v>108</v>
      </c>
      <c r="E32" s="160"/>
      <c r="F32" s="175">
        <f>(F24+F25-F27-F29)*0.95</f>
        <v>17.280500000000004</v>
      </c>
      <c r="G32" s="167"/>
      <c r="H32" s="213"/>
      <c r="I32" s="163"/>
      <c r="J32" s="202">
        <f>F32*H32</f>
        <v>0</v>
      </c>
      <c r="K32" s="171"/>
      <c r="L32" s="219"/>
      <c r="M32" s="200"/>
    </row>
    <row r="33" spans="1:15" ht="14.25">
      <c r="A33" s="172"/>
      <c r="B33" s="173" t="s">
        <v>79</v>
      </c>
      <c r="C33" s="173"/>
      <c r="D33" s="174" t="s">
        <v>108</v>
      </c>
      <c r="E33" s="160"/>
      <c r="F33" s="181">
        <f>(F24+F25-F27-F29)*0.05</f>
        <v>0.90950000000000031</v>
      </c>
      <c r="G33" s="167"/>
      <c r="H33" s="213"/>
      <c r="I33" s="163"/>
      <c r="J33" s="202">
        <f>F33*H33</f>
        <v>0</v>
      </c>
      <c r="K33" s="199"/>
      <c r="L33" s="199"/>
      <c r="M33" s="200"/>
      <c r="N33" s="200"/>
      <c r="O33" s="200"/>
    </row>
    <row r="34" spans="1:15" ht="14.25">
      <c r="A34" s="172"/>
      <c r="B34" s="173"/>
      <c r="C34" s="173"/>
      <c r="D34" s="165"/>
      <c r="E34" s="160"/>
      <c r="F34" s="166"/>
      <c r="G34" s="167"/>
      <c r="H34" s="215"/>
      <c r="I34" s="163"/>
      <c r="J34" s="194"/>
      <c r="K34" s="199"/>
      <c r="L34" s="199"/>
      <c r="M34" s="200"/>
      <c r="N34" s="200"/>
      <c r="O34" s="200"/>
    </row>
    <row r="35" spans="1:15" ht="25.5">
      <c r="A35" s="172" t="s">
        <v>69</v>
      </c>
      <c r="B35" s="228" t="s">
        <v>27</v>
      </c>
      <c r="C35" s="226"/>
      <c r="D35" s="174" t="s">
        <v>108</v>
      </c>
      <c r="E35" s="160"/>
      <c r="F35" s="175">
        <f>F24+F25-F32-F33</f>
        <v>25.619999999999997</v>
      </c>
      <c r="G35" s="167"/>
      <c r="H35" s="213"/>
      <c r="I35" s="163"/>
      <c r="J35" s="202">
        <f>F35*H35</f>
        <v>0</v>
      </c>
      <c r="K35" s="199"/>
      <c r="L35" s="199"/>
      <c r="M35" s="200"/>
      <c r="N35" s="200"/>
      <c r="O35" s="200"/>
    </row>
    <row r="36" spans="1:15">
      <c r="A36" s="172"/>
      <c r="B36" s="228"/>
      <c r="C36" s="226"/>
      <c r="D36" s="165"/>
      <c r="E36" s="160"/>
      <c r="F36" s="166"/>
      <c r="G36" s="167"/>
      <c r="H36" s="215"/>
      <c r="I36" s="163"/>
      <c r="J36" s="194"/>
      <c r="K36" s="217"/>
      <c r="L36" s="200"/>
      <c r="M36" s="200"/>
      <c r="N36" s="200"/>
      <c r="O36" s="200"/>
    </row>
    <row r="37" spans="1:15" ht="13.5" thickBot="1">
      <c r="A37" s="183"/>
      <c r="B37" s="232" t="s">
        <v>28</v>
      </c>
      <c r="C37" s="232"/>
      <c r="D37" s="233"/>
      <c r="E37" s="233"/>
      <c r="F37" s="234"/>
      <c r="G37" s="235"/>
      <c r="H37" s="189"/>
      <c r="I37" s="236"/>
      <c r="J37" s="189">
        <f>SUM(J22:J36)</f>
        <v>0</v>
      </c>
      <c r="K37" s="217"/>
      <c r="L37" s="200"/>
      <c r="M37" s="200"/>
      <c r="N37" s="200"/>
      <c r="O37" s="200"/>
    </row>
    <row r="38" spans="1:15" ht="13.5" thickTop="1">
      <c r="A38" s="190"/>
      <c r="B38" s="237"/>
      <c r="C38" s="237"/>
      <c r="D38" s="238"/>
      <c r="E38" s="238"/>
      <c r="F38" s="166"/>
      <c r="G38" s="167"/>
      <c r="H38" s="194"/>
      <c r="I38" s="169"/>
      <c r="J38" s="194"/>
      <c r="K38" s="217"/>
      <c r="L38" s="200"/>
      <c r="M38" s="200"/>
      <c r="N38" s="200"/>
      <c r="O38" s="200"/>
    </row>
    <row r="39" spans="1:15">
      <c r="A39" s="190"/>
      <c r="B39" s="237"/>
      <c r="C39" s="237"/>
      <c r="D39" s="238"/>
      <c r="E39" s="238"/>
      <c r="F39" s="166"/>
      <c r="G39" s="167"/>
      <c r="H39" s="194"/>
      <c r="I39" s="169"/>
      <c r="J39" s="194"/>
      <c r="K39" s="217"/>
      <c r="L39" s="200"/>
      <c r="M39" s="200"/>
      <c r="N39" s="200"/>
      <c r="O39" s="200"/>
    </row>
    <row r="40" spans="1:15" ht="15">
      <c r="A40" s="195" t="s">
        <v>63</v>
      </c>
      <c r="B40" s="239" t="s">
        <v>29</v>
      </c>
      <c r="C40" s="239"/>
      <c r="D40" s="160"/>
      <c r="E40" s="160"/>
      <c r="F40" s="170"/>
      <c r="G40" s="171"/>
      <c r="H40" s="198"/>
      <c r="I40" s="163"/>
      <c r="J40" s="198"/>
      <c r="K40" s="217"/>
      <c r="L40" s="200"/>
      <c r="M40" s="200"/>
      <c r="N40" s="200"/>
      <c r="O40" s="200"/>
    </row>
    <row r="41" spans="1:15" ht="15">
      <c r="A41" s="195"/>
      <c r="B41" s="239"/>
      <c r="C41" s="239"/>
      <c r="D41" s="160"/>
      <c r="E41" s="160"/>
      <c r="F41" s="170"/>
      <c r="G41" s="171"/>
      <c r="H41" s="198"/>
      <c r="I41" s="163"/>
      <c r="J41" s="198"/>
      <c r="K41" s="217"/>
      <c r="L41" s="200"/>
      <c r="M41" s="200"/>
    </row>
    <row r="42" spans="1:15" ht="38.25">
      <c r="A42" s="172" t="s">
        <v>58</v>
      </c>
      <c r="B42" s="226" t="s">
        <v>396</v>
      </c>
      <c r="C42" s="226"/>
      <c r="D42" s="174" t="s">
        <v>60</v>
      </c>
      <c r="E42" s="160"/>
      <c r="F42" s="240">
        <f>Q19</f>
        <v>43.81</v>
      </c>
      <c r="G42" s="223"/>
      <c r="H42" s="213"/>
      <c r="I42" s="163"/>
      <c r="J42" s="202">
        <f>F42*H42</f>
        <v>0</v>
      </c>
      <c r="K42" s="217"/>
      <c r="L42" s="200"/>
      <c r="M42" s="200"/>
      <c r="N42" s="200"/>
      <c r="O42" s="200"/>
    </row>
    <row r="43" spans="1:15">
      <c r="A43" s="172"/>
      <c r="B43" s="226"/>
      <c r="C43" s="226"/>
      <c r="D43" s="160"/>
      <c r="E43" s="160"/>
      <c r="F43" s="170"/>
      <c r="G43" s="171"/>
      <c r="H43" s="198"/>
      <c r="I43" s="163"/>
      <c r="J43" s="198"/>
      <c r="K43" s="217"/>
      <c r="L43" s="200"/>
      <c r="M43" s="200"/>
      <c r="N43" s="200"/>
      <c r="O43" s="200"/>
    </row>
    <row r="44" spans="1:15">
      <c r="A44" s="172"/>
      <c r="B44" s="226"/>
      <c r="C44" s="226"/>
      <c r="D44" s="160"/>
      <c r="E44" s="160"/>
      <c r="F44" s="170"/>
      <c r="G44" s="171"/>
      <c r="H44" s="198"/>
      <c r="I44" s="163"/>
      <c r="J44" s="198"/>
      <c r="K44" s="217"/>
      <c r="L44" s="200"/>
      <c r="M44" s="200"/>
      <c r="N44" s="200"/>
      <c r="O44" s="200"/>
    </row>
    <row r="45" spans="1:15" ht="51">
      <c r="A45" s="172" t="s">
        <v>63</v>
      </c>
      <c r="B45" s="241" t="s">
        <v>398</v>
      </c>
      <c r="C45" s="241"/>
      <c r="D45" s="165"/>
      <c r="E45" s="165"/>
      <c r="F45" s="166"/>
      <c r="G45" s="167"/>
      <c r="H45" s="198"/>
      <c r="I45" s="163"/>
      <c r="J45" s="198"/>
      <c r="K45" s="217"/>
      <c r="L45" s="200"/>
      <c r="M45" s="200"/>
      <c r="N45" s="200"/>
      <c r="O45" s="200"/>
    </row>
    <row r="46" spans="1:15">
      <c r="A46" s="172"/>
      <c r="B46" s="241"/>
      <c r="C46" s="241"/>
      <c r="D46" s="174" t="s">
        <v>190</v>
      </c>
      <c r="E46" s="165"/>
      <c r="F46" s="175">
        <f>R13</f>
        <v>1</v>
      </c>
      <c r="G46" s="167"/>
      <c r="H46" s="213"/>
      <c r="I46" s="163"/>
      <c r="J46" s="202">
        <f>F46*H46</f>
        <v>0</v>
      </c>
      <c r="K46" s="217"/>
      <c r="L46" s="200"/>
      <c r="M46" s="200"/>
      <c r="N46" s="200"/>
      <c r="O46" s="200"/>
    </row>
    <row r="47" spans="1:15">
      <c r="A47" s="172"/>
      <c r="B47" s="241"/>
      <c r="C47" s="241"/>
      <c r="D47" s="160"/>
      <c r="E47" s="160"/>
      <c r="F47" s="170"/>
      <c r="G47" s="171"/>
      <c r="H47" s="198"/>
      <c r="I47" s="163"/>
      <c r="J47" s="198"/>
      <c r="K47" s="217"/>
      <c r="L47" s="200"/>
      <c r="M47" s="200"/>
      <c r="N47" s="200"/>
      <c r="O47" s="200"/>
    </row>
    <row r="48" spans="1:15" ht="51">
      <c r="A48" s="172" t="s">
        <v>67</v>
      </c>
      <c r="B48" s="241" t="s">
        <v>397</v>
      </c>
      <c r="C48" s="241"/>
      <c r="D48" s="165"/>
      <c r="E48" s="165"/>
      <c r="F48" s="166"/>
      <c r="G48" s="167"/>
      <c r="H48" s="198"/>
      <c r="I48" s="163"/>
      <c r="J48" s="198"/>
      <c r="K48" s="217"/>
      <c r="L48" s="200"/>
      <c r="M48" s="200"/>
      <c r="N48" s="200"/>
      <c r="O48" s="200"/>
    </row>
    <row r="49" spans="1:15">
      <c r="A49" s="172"/>
      <c r="B49" s="241"/>
      <c r="C49" s="241"/>
      <c r="D49" s="174" t="s">
        <v>190</v>
      </c>
      <c r="E49" s="165"/>
      <c r="F49" s="175">
        <f>R14</f>
        <v>1</v>
      </c>
      <c r="G49" s="167"/>
      <c r="H49" s="213"/>
      <c r="I49" s="163"/>
      <c r="J49" s="202">
        <f>F49*H49</f>
        <v>0</v>
      </c>
      <c r="K49" s="217"/>
      <c r="L49" s="200"/>
      <c r="M49" s="200"/>
      <c r="N49" s="200"/>
      <c r="O49" s="200"/>
    </row>
    <row r="50" spans="1:15">
      <c r="A50" s="172"/>
      <c r="B50" s="241"/>
      <c r="C50" s="241"/>
      <c r="D50" s="160"/>
      <c r="E50" s="160"/>
      <c r="F50" s="170"/>
      <c r="G50" s="171"/>
      <c r="H50" s="198"/>
      <c r="I50" s="163"/>
      <c r="J50" s="198"/>
      <c r="K50" s="217"/>
      <c r="L50" s="200"/>
      <c r="M50" s="200"/>
      <c r="N50" s="200"/>
      <c r="O50" s="200"/>
    </row>
    <row r="51" spans="1:15" ht="13.5" thickBot="1">
      <c r="A51" s="243"/>
      <c r="B51" s="244" t="s">
        <v>30</v>
      </c>
      <c r="C51" s="244"/>
      <c r="D51" s="186"/>
      <c r="E51" s="186"/>
      <c r="F51" s="234"/>
      <c r="G51" s="235"/>
      <c r="H51" s="189"/>
      <c r="I51" s="236"/>
      <c r="J51" s="189">
        <f>SUM(J42:J49)</f>
        <v>0</v>
      </c>
      <c r="K51" s="217"/>
      <c r="L51" s="200"/>
      <c r="M51" s="200"/>
      <c r="N51" s="200"/>
      <c r="O51" s="200"/>
    </row>
    <row r="52" spans="1:15" ht="13.5" thickTop="1">
      <c r="A52" s="245"/>
      <c r="B52" s="246"/>
      <c r="C52" s="246"/>
      <c r="D52" s="165"/>
      <c r="E52" s="165"/>
      <c r="F52" s="166"/>
      <c r="G52" s="167"/>
      <c r="H52" s="194"/>
      <c r="I52" s="169"/>
      <c r="J52" s="194"/>
      <c r="K52" s="242"/>
    </row>
    <row r="53" spans="1:15" ht="15.75">
      <c r="A53" s="247" t="s">
        <v>67</v>
      </c>
      <c r="B53" s="248" t="s">
        <v>31</v>
      </c>
      <c r="C53" s="248"/>
      <c r="D53" s="192"/>
      <c r="E53" s="192"/>
      <c r="F53" s="166"/>
      <c r="G53" s="167"/>
      <c r="H53" s="150"/>
      <c r="I53" s="163"/>
      <c r="J53" s="198"/>
      <c r="K53" s="242"/>
    </row>
    <row r="54" spans="1:15">
      <c r="A54" s="172"/>
      <c r="B54" s="249"/>
      <c r="C54" s="249"/>
      <c r="D54" s="250"/>
      <c r="E54" s="250"/>
      <c r="F54" s="170"/>
      <c r="G54" s="171"/>
      <c r="H54" s="150"/>
      <c r="I54" s="163"/>
      <c r="J54" s="198"/>
      <c r="K54" s="242"/>
    </row>
    <row r="55" spans="1:15" ht="25.5">
      <c r="A55" s="172" t="s">
        <v>58</v>
      </c>
      <c r="B55" s="173" t="s">
        <v>32</v>
      </c>
      <c r="C55" s="173"/>
      <c r="D55" s="251" t="s">
        <v>60</v>
      </c>
      <c r="E55" s="179"/>
      <c r="F55" s="175">
        <f>F9</f>
        <v>43.81</v>
      </c>
      <c r="G55" s="167"/>
      <c r="H55" s="213"/>
      <c r="I55" s="163"/>
      <c r="J55" s="202">
        <f>F55*H55</f>
        <v>0</v>
      </c>
      <c r="K55" s="242"/>
    </row>
    <row r="56" spans="1:15">
      <c r="A56" s="172"/>
      <c r="B56" s="173"/>
      <c r="C56" s="173"/>
      <c r="D56" s="179"/>
      <c r="E56" s="179"/>
      <c r="F56" s="170"/>
      <c r="G56" s="171"/>
      <c r="H56" s="150"/>
      <c r="I56" s="163"/>
      <c r="J56" s="198"/>
      <c r="K56" s="242"/>
    </row>
    <row r="57" spans="1:15">
      <c r="A57" s="172" t="s">
        <v>61</v>
      </c>
      <c r="B57" s="173" t="s">
        <v>33</v>
      </c>
      <c r="C57" s="173"/>
      <c r="D57" s="251" t="s">
        <v>60</v>
      </c>
      <c r="E57" s="179"/>
      <c r="F57" s="175">
        <f>F9</f>
        <v>43.81</v>
      </c>
      <c r="G57" s="167"/>
      <c r="H57" s="213"/>
      <c r="I57" s="163"/>
      <c r="J57" s="202">
        <f>F57*H57</f>
        <v>0</v>
      </c>
      <c r="K57" s="242"/>
    </row>
    <row r="58" spans="1:15">
      <c r="A58" s="172"/>
      <c r="B58" s="173"/>
      <c r="C58" s="173"/>
      <c r="D58" s="179"/>
      <c r="E58" s="179"/>
      <c r="F58" s="170"/>
      <c r="G58" s="171"/>
      <c r="H58" s="150"/>
      <c r="I58" s="163"/>
      <c r="J58" s="198"/>
      <c r="K58" s="242"/>
    </row>
    <row r="59" spans="1:15">
      <c r="A59" s="172" t="s">
        <v>63</v>
      </c>
      <c r="B59" s="173" t="s">
        <v>34</v>
      </c>
      <c r="C59" s="173"/>
      <c r="D59" s="251" t="s">
        <v>190</v>
      </c>
      <c r="E59" s="179"/>
      <c r="F59" s="175">
        <f>F46+F49</f>
        <v>2</v>
      </c>
      <c r="G59" s="167"/>
      <c r="H59" s="213"/>
      <c r="I59" s="163"/>
      <c r="J59" s="202">
        <f>F59*H59</f>
        <v>0</v>
      </c>
      <c r="K59" s="242"/>
    </row>
    <row r="60" spans="1:15">
      <c r="A60" s="172"/>
      <c r="B60" s="173"/>
      <c r="C60" s="173"/>
      <c r="D60" s="179"/>
      <c r="E60" s="179"/>
      <c r="F60" s="170"/>
      <c r="G60" s="171"/>
      <c r="H60" s="150"/>
      <c r="I60" s="163"/>
      <c r="J60" s="198"/>
      <c r="K60" s="242"/>
    </row>
    <row r="61" spans="1:15" ht="25.5">
      <c r="A61" s="172" t="s">
        <v>67</v>
      </c>
      <c r="B61" s="173" t="s">
        <v>35</v>
      </c>
      <c r="C61" s="173"/>
      <c r="D61" s="251" t="s">
        <v>60</v>
      </c>
      <c r="E61" s="179"/>
      <c r="F61" s="175">
        <f>F9</f>
        <v>43.81</v>
      </c>
      <c r="G61" s="167"/>
      <c r="H61" s="213"/>
      <c r="I61" s="163"/>
      <c r="J61" s="202">
        <f>F61*H61</f>
        <v>0</v>
      </c>
      <c r="K61" s="242"/>
    </row>
    <row r="62" spans="1:15">
      <c r="A62" s="172"/>
      <c r="B62" s="173"/>
      <c r="C62" s="173"/>
      <c r="D62" s="179"/>
      <c r="E62" s="179"/>
      <c r="F62" s="170"/>
      <c r="G62" s="171"/>
      <c r="H62" s="150"/>
      <c r="I62" s="163"/>
      <c r="J62" s="198"/>
      <c r="K62" s="242"/>
    </row>
    <row r="63" spans="1:15" ht="13.5" thickBot="1">
      <c r="A63" s="183"/>
      <c r="B63" s="252" t="s">
        <v>36</v>
      </c>
      <c r="C63" s="252"/>
      <c r="D63" s="253"/>
      <c r="E63" s="253"/>
      <c r="F63" s="234"/>
      <c r="G63" s="235"/>
      <c r="H63" s="254"/>
      <c r="I63" s="236"/>
      <c r="J63" s="189">
        <f>SUM(J55:J61)</f>
        <v>0</v>
      </c>
      <c r="K63" s="242"/>
    </row>
    <row r="64" spans="1:15" ht="13.5" thickTop="1">
      <c r="A64" s="190"/>
      <c r="B64" s="255"/>
      <c r="C64" s="255"/>
      <c r="D64" s="256"/>
      <c r="E64" s="256"/>
      <c r="F64" s="166"/>
      <c r="G64" s="167"/>
      <c r="H64" s="168"/>
      <c r="I64" s="169"/>
      <c r="J64" s="194"/>
      <c r="K64" s="242"/>
    </row>
    <row r="65" spans="1:18">
      <c r="A65" s="190"/>
      <c r="B65" s="255"/>
      <c r="C65" s="255"/>
      <c r="D65" s="256"/>
      <c r="E65" s="256"/>
      <c r="F65" s="166"/>
      <c r="G65" s="167"/>
      <c r="H65" s="168"/>
      <c r="I65" s="169"/>
      <c r="J65" s="194"/>
      <c r="K65" s="242"/>
    </row>
    <row r="66" spans="1:18">
      <c r="A66" s="190"/>
      <c r="B66" s="255"/>
      <c r="C66" s="255"/>
      <c r="D66" s="256"/>
      <c r="E66" s="256"/>
      <c r="F66" s="166"/>
      <c r="G66" s="167"/>
      <c r="H66" s="150"/>
      <c r="I66" s="163"/>
      <c r="J66" s="198"/>
      <c r="K66" s="242"/>
    </row>
    <row r="67" spans="1:18">
      <c r="A67" s="190"/>
      <c r="B67" s="255"/>
      <c r="C67" s="255"/>
      <c r="D67" s="256"/>
      <c r="E67" s="256"/>
      <c r="F67" s="166"/>
      <c r="G67" s="167"/>
      <c r="H67" s="150"/>
      <c r="I67" s="163"/>
      <c r="J67" s="198"/>
      <c r="K67" s="242"/>
    </row>
    <row r="68" spans="1:18">
      <c r="A68" s="190"/>
      <c r="B68" s="255"/>
      <c r="C68" s="255"/>
      <c r="D68" s="256"/>
      <c r="E68" s="256"/>
      <c r="F68" s="166"/>
      <c r="G68" s="167"/>
      <c r="H68" s="150"/>
      <c r="I68" s="163"/>
      <c r="J68" s="198"/>
      <c r="K68" s="242"/>
    </row>
    <row r="69" spans="1:18">
      <c r="A69" s="190"/>
      <c r="B69" s="255"/>
      <c r="C69" s="255"/>
      <c r="D69" s="256"/>
      <c r="E69" s="256"/>
      <c r="F69" s="166"/>
      <c r="G69" s="167"/>
      <c r="H69" s="150"/>
      <c r="I69" s="163"/>
      <c r="J69" s="198"/>
      <c r="K69" s="242"/>
    </row>
    <row r="70" spans="1:18">
      <c r="A70" s="190"/>
      <c r="B70" s="255"/>
      <c r="C70" s="255"/>
      <c r="D70" s="256"/>
      <c r="E70" s="256"/>
      <c r="F70" s="166"/>
      <c r="G70" s="167"/>
      <c r="H70" s="150"/>
      <c r="I70" s="163"/>
      <c r="J70" s="198"/>
      <c r="K70" s="242"/>
    </row>
    <row r="71" spans="1:18">
      <c r="A71" s="190"/>
      <c r="B71" s="255"/>
      <c r="C71" s="255"/>
      <c r="D71" s="256"/>
      <c r="E71" s="256"/>
      <c r="F71" s="166"/>
      <c r="G71" s="167"/>
      <c r="H71" s="150"/>
      <c r="I71" s="163"/>
      <c r="J71" s="198"/>
      <c r="K71" s="242"/>
    </row>
    <row r="72" spans="1:18">
      <c r="A72" s="190"/>
      <c r="B72" s="255"/>
      <c r="C72" s="255"/>
      <c r="D72" s="256"/>
      <c r="E72" s="256"/>
      <c r="F72" s="166"/>
      <c r="G72" s="167"/>
      <c r="H72" s="150"/>
      <c r="I72" s="163"/>
      <c r="J72" s="198"/>
      <c r="K72" s="242"/>
    </row>
    <row r="73" spans="1:18">
      <c r="A73" s="172"/>
      <c r="B73" s="258"/>
      <c r="C73" s="258"/>
      <c r="D73" s="257"/>
      <c r="E73" s="257"/>
      <c r="F73" s="170"/>
      <c r="G73" s="171"/>
      <c r="H73" s="150"/>
      <c r="I73" s="163"/>
      <c r="J73" s="198"/>
      <c r="K73" s="242"/>
    </row>
    <row r="74" spans="1:18">
      <c r="B74" s="242"/>
      <c r="C74" s="242"/>
      <c r="D74" s="242"/>
      <c r="E74" s="242"/>
      <c r="F74" s="206"/>
      <c r="G74" s="242"/>
      <c r="H74" s="260"/>
      <c r="I74" s="261"/>
      <c r="J74" s="262"/>
      <c r="K74" s="242"/>
    </row>
    <row r="75" spans="1:18">
      <c r="B75" s="242"/>
      <c r="C75" s="242"/>
      <c r="D75" s="242"/>
      <c r="E75" s="242"/>
      <c r="F75" s="206"/>
      <c r="G75" s="242"/>
      <c r="H75" s="260"/>
      <c r="I75" s="261"/>
      <c r="J75" s="262"/>
      <c r="K75" s="242"/>
    </row>
    <row r="76" spans="1:18">
      <c r="B76" s="242"/>
      <c r="C76" s="242"/>
      <c r="D76" s="242"/>
      <c r="E76" s="242"/>
      <c r="F76" s="206"/>
      <c r="G76" s="242"/>
      <c r="H76" s="260"/>
      <c r="I76" s="261"/>
      <c r="J76" s="262"/>
      <c r="K76" s="242"/>
    </row>
    <row r="77" spans="1:18">
      <c r="B77" s="242"/>
      <c r="C77" s="242"/>
      <c r="D77" s="242"/>
      <c r="E77" s="242"/>
      <c r="F77" s="206"/>
      <c r="G77" s="242"/>
      <c r="H77" s="260"/>
      <c r="I77" s="261"/>
      <c r="J77" s="262"/>
      <c r="K77" s="242"/>
    </row>
    <row r="78" spans="1:18">
      <c r="B78" s="242"/>
      <c r="C78" s="242"/>
      <c r="D78" s="242"/>
      <c r="E78" s="242"/>
      <c r="F78" s="206"/>
      <c r="G78" s="242"/>
      <c r="H78" s="260"/>
      <c r="I78" s="261"/>
      <c r="J78" s="262"/>
      <c r="K78" s="242"/>
      <c r="Q78" s="259"/>
      <c r="R78" s="259"/>
    </row>
    <row r="79" spans="1:18">
      <c r="B79" s="242"/>
      <c r="C79" s="242"/>
      <c r="D79" s="242"/>
      <c r="E79" s="242"/>
      <c r="F79" s="206"/>
      <c r="G79" s="242"/>
      <c r="H79" s="260"/>
      <c r="I79" s="261"/>
      <c r="J79" s="262"/>
      <c r="K79" s="242"/>
      <c r="Q79" s="259"/>
      <c r="R79" s="259"/>
    </row>
    <row r="80" spans="1:18">
      <c r="B80" s="242"/>
      <c r="C80" s="242"/>
      <c r="D80" s="242"/>
      <c r="E80" s="242"/>
      <c r="F80" s="206"/>
      <c r="G80" s="242"/>
      <c r="H80" s="260"/>
      <c r="I80" s="261"/>
      <c r="J80" s="262"/>
      <c r="K80" s="242"/>
      <c r="Q80" s="259"/>
      <c r="R80" s="259"/>
    </row>
    <row r="81" spans="2:18">
      <c r="B81" s="242"/>
      <c r="C81" s="242"/>
      <c r="D81" s="242"/>
      <c r="E81" s="242"/>
      <c r="F81" s="206"/>
      <c r="G81" s="242"/>
      <c r="H81" s="260"/>
      <c r="I81" s="261"/>
      <c r="J81" s="262"/>
      <c r="K81" s="242"/>
      <c r="Q81" s="259"/>
      <c r="R81" s="259"/>
    </row>
    <row r="82" spans="2:18">
      <c r="B82" s="242"/>
      <c r="C82" s="242"/>
      <c r="D82" s="242"/>
      <c r="E82" s="242"/>
      <c r="F82" s="206"/>
      <c r="G82" s="242"/>
      <c r="H82" s="260"/>
      <c r="I82" s="261"/>
      <c r="J82" s="262"/>
      <c r="K82" s="242"/>
      <c r="Q82" s="259"/>
      <c r="R82" s="259"/>
    </row>
    <row r="83" spans="2:18">
      <c r="B83" s="242"/>
      <c r="C83" s="242"/>
      <c r="D83" s="242"/>
      <c r="E83" s="242"/>
      <c r="F83" s="206"/>
      <c r="G83" s="242"/>
      <c r="H83" s="260"/>
      <c r="I83" s="261"/>
      <c r="J83" s="262"/>
      <c r="K83" s="242"/>
      <c r="Q83" s="259"/>
      <c r="R83" s="259"/>
    </row>
    <row r="84" spans="2:18">
      <c r="B84" s="242"/>
      <c r="C84" s="242"/>
      <c r="D84" s="242"/>
      <c r="E84" s="242"/>
      <c r="F84" s="206"/>
      <c r="G84" s="242"/>
      <c r="H84" s="260"/>
      <c r="I84" s="261"/>
      <c r="J84" s="262"/>
      <c r="K84" s="242"/>
      <c r="Q84" s="259"/>
      <c r="R84" s="259"/>
    </row>
    <row r="85" spans="2:18">
      <c r="B85" s="242"/>
      <c r="C85" s="242"/>
      <c r="D85" s="242"/>
      <c r="E85" s="242"/>
      <c r="F85" s="206"/>
      <c r="G85" s="242"/>
      <c r="H85" s="260"/>
      <c r="I85" s="261"/>
      <c r="J85" s="262"/>
      <c r="K85" s="242"/>
      <c r="Q85" s="259"/>
      <c r="R85" s="259"/>
    </row>
    <row r="86" spans="2:18">
      <c r="B86" s="242"/>
      <c r="C86" s="242"/>
      <c r="D86" s="242"/>
      <c r="E86" s="242"/>
      <c r="F86" s="206"/>
      <c r="G86" s="242"/>
      <c r="H86" s="260"/>
      <c r="I86" s="261"/>
      <c r="J86" s="262"/>
      <c r="K86" s="242"/>
      <c r="Q86" s="259"/>
      <c r="R86" s="259"/>
    </row>
    <row r="87" spans="2:18">
      <c r="B87" s="242"/>
      <c r="C87" s="242"/>
      <c r="D87" s="242"/>
      <c r="E87" s="242"/>
      <c r="F87" s="206"/>
      <c r="G87" s="242"/>
      <c r="H87" s="260"/>
      <c r="I87" s="261"/>
      <c r="J87" s="262"/>
      <c r="K87" s="242"/>
      <c r="Q87" s="259"/>
      <c r="R87" s="259"/>
    </row>
    <row r="88" spans="2:18">
      <c r="B88" s="242"/>
      <c r="C88" s="242"/>
      <c r="D88" s="242"/>
      <c r="E88" s="242"/>
      <c r="F88" s="206"/>
      <c r="G88" s="242"/>
      <c r="H88" s="260"/>
      <c r="I88" s="261"/>
      <c r="J88" s="262"/>
      <c r="K88" s="263"/>
      <c r="L88" s="263"/>
      <c r="M88" s="264"/>
      <c r="Q88" s="259"/>
      <c r="R88" s="259"/>
    </row>
    <row r="89" spans="2:18">
      <c r="B89" s="242"/>
      <c r="C89" s="242"/>
      <c r="D89" s="242"/>
      <c r="E89" s="242"/>
      <c r="F89" s="206"/>
      <c r="G89" s="242"/>
      <c r="H89" s="260"/>
      <c r="I89" s="261"/>
      <c r="J89" s="262"/>
      <c r="K89" s="265"/>
      <c r="L89" s="265"/>
      <c r="M89" s="264"/>
    </row>
    <row r="90" spans="2:18">
      <c r="B90" s="242"/>
      <c r="C90" s="242"/>
      <c r="D90" s="242"/>
      <c r="E90" s="242"/>
      <c r="F90" s="206"/>
      <c r="G90" s="242"/>
      <c r="H90" s="260"/>
      <c r="I90" s="261"/>
      <c r="J90" s="262"/>
      <c r="K90" s="261"/>
      <c r="L90" s="261"/>
      <c r="M90" s="264"/>
    </row>
    <row r="91" spans="2:18">
      <c r="B91" s="242"/>
      <c r="C91" s="242"/>
      <c r="D91" s="242"/>
      <c r="E91" s="242"/>
      <c r="F91" s="206"/>
      <c r="G91" s="242"/>
      <c r="H91" s="260"/>
      <c r="I91" s="261"/>
      <c r="J91" s="262"/>
      <c r="K91" s="242"/>
    </row>
    <row r="92" spans="2:18">
      <c r="B92" s="242"/>
      <c r="C92" s="242"/>
      <c r="D92" s="242"/>
      <c r="E92" s="242"/>
      <c r="F92" s="206"/>
      <c r="G92" s="242"/>
      <c r="H92" s="260"/>
      <c r="I92" s="261"/>
      <c r="J92" s="262"/>
      <c r="K92" s="242"/>
    </row>
    <row r="93" spans="2:18">
      <c r="B93" s="242"/>
      <c r="C93" s="242"/>
      <c r="D93" s="242"/>
      <c r="E93" s="242"/>
      <c r="F93" s="206"/>
      <c r="G93" s="242"/>
      <c r="H93" s="260"/>
      <c r="I93" s="261"/>
      <c r="J93" s="262"/>
      <c r="K93" s="242"/>
    </row>
    <row r="94" spans="2:18">
      <c r="B94" s="242"/>
      <c r="C94" s="242"/>
      <c r="D94" s="242"/>
      <c r="E94" s="242"/>
      <c r="F94" s="206"/>
      <c r="G94" s="242"/>
      <c r="H94" s="260"/>
      <c r="I94" s="261"/>
      <c r="J94" s="262"/>
      <c r="K94" s="242"/>
    </row>
    <row r="95" spans="2:18">
      <c r="B95" s="242"/>
      <c r="C95" s="242"/>
      <c r="D95" s="242"/>
      <c r="E95" s="242"/>
      <c r="F95" s="206"/>
      <c r="G95" s="242"/>
      <c r="H95" s="260"/>
      <c r="I95" s="261"/>
      <c r="J95" s="262"/>
      <c r="K95" s="242"/>
    </row>
    <row r="96" spans="2:18">
      <c r="B96" s="242"/>
      <c r="C96" s="242"/>
      <c r="D96" s="242"/>
      <c r="E96" s="242"/>
      <c r="F96" s="206"/>
      <c r="G96" s="242"/>
      <c r="H96" s="260"/>
      <c r="I96" s="261"/>
      <c r="J96" s="262"/>
      <c r="K96" s="242"/>
    </row>
    <row r="97" spans="2:11">
      <c r="B97" s="242"/>
      <c r="C97" s="242"/>
      <c r="D97" s="242"/>
      <c r="E97" s="242"/>
      <c r="F97" s="206"/>
      <c r="G97" s="242"/>
      <c r="H97" s="260"/>
      <c r="I97" s="261"/>
      <c r="J97" s="262"/>
      <c r="K97" s="242"/>
    </row>
    <row r="98" spans="2:11">
      <c r="B98" s="242"/>
      <c r="C98" s="242"/>
      <c r="D98" s="242"/>
      <c r="E98" s="242"/>
      <c r="F98" s="206"/>
      <c r="G98" s="242"/>
      <c r="H98" s="260"/>
      <c r="I98" s="261"/>
      <c r="J98" s="262"/>
      <c r="K98" s="242"/>
    </row>
    <row r="99" spans="2:11">
      <c r="B99" s="242"/>
      <c r="C99" s="242"/>
      <c r="D99" s="242"/>
      <c r="E99" s="242"/>
      <c r="F99" s="206"/>
      <c r="G99" s="242"/>
      <c r="H99" s="260"/>
      <c r="I99" s="261"/>
      <c r="J99" s="262"/>
      <c r="K99" s="242"/>
    </row>
    <row r="100" spans="2:11">
      <c r="B100" s="242"/>
      <c r="C100" s="242"/>
      <c r="D100" s="242"/>
      <c r="E100" s="242"/>
      <c r="F100" s="206"/>
      <c r="G100" s="242"/>
      <c r="H100" s="260"/>
      <c r="I100" s="261"/>
      <c r="J100" s="262"/>
      <c r="K100" s="242"/>
    </row>
    <row r="101" spans="2:11">
      <c r="B101" s="242"/>
      <c r="C101" s="242"/>
      <c r="D101" s="242"/>
      <c r="E101" s="242"/>
      <c r="F101" s="206"/>
      <c r="G101" s="242"/>
      <c r="H101" s="260"/>
      <c r="I101" s="261"/>
      <c r="J101" s="262"/>
      <c r="K101" s="242"/>
    </row>
    <row r="102" spans="2:11">
      <c r="B102" s="242"/>
      <c r="C102" s="242"/>
      <c r="D102" s="242"/>
      <c r="E102" s="242"/>
      <c r="F102" s="206"/>
      <c r="G102" s="242"/>
      <c r="H102" s="260"/>
      <c r="I102" s="261"/>
      <c r="J102" s="262"/>
      <c r="K102" s="242"/>
    </row>
    <row r="103" spans="2:11">
      <c r="B103" s="242"/>
      <c r="C103" s="242"/>
      <c r="D103" s="242"/>
      <c r="E103" s="242"/>
      <c r="F103" s="206"/>
      <c r="G103" s="242"/>
      <c r="H103" s="260"/>
      <c r="I103" s="261"/>
      <c r="J103" s="262"/>
      <c r="K103" s="242"/>
    </row>
    <row r="104" spans="2:11">
      <c r="B104" s="242"/>
      <c r="C104" s="242"/>
      <c r="D104" s="242"/>
      <c r="E104" s="242"/>
      <c r="F104" s="206"/>
      <c r="G104" s="242"/>
      <c r="H104" s="260"/>
      <c r="I104" s="261"/>
      <c r="J104" s="262"/>
      <c r="K104" s="242"/>
    </row>
    <row r="105" spans="2:11">
      <c r="B105" s="242"/>
      <c r="C105" s="242"/>
      <c r="D105" s="242"/>
      <c r="E105" s="242"/>
      <c r="F105" s="206"/>
      <c r="G105" s="242"/>
      <c r="H105" s="260"/>
      <c r="I105" s="261"/>
      <c r="J105" s="262"/>
      <c r="K105" s="242"/>
    </row>
    <row r="106" spans="2:11">
      <c r="B106" s="242"/>
      <c r="C106" s="242"/>
      <c r="D106" s="242"/>
      <c r="E106" s="242"/>
      <c r="F106" s="206"/>
      <c r="G106" s="242"/>
      <c r="H106" s="260"/>
      <c r="I106" s="261"/>
      <c r="J106" s="262"/>
      <c r="K106" s="242"/>
    </row>
    <row r="107" spans="2:11">
      <c r="B107" s="242"/>
      <c r="C107" s="242"/>
      <c r="D107" s="242"/>
      <c r="E107" s="242"/>
      <c r="F107" s="206"/>
      <c r="G107" s="242"/>
      <c r="H107" s="260"/>
      <c r="I107" s="261"/>
      <c r="J107" s="262"/>
      <c r="K107" s="242"/>
    </row>
    <row r="108" spans="2:11">
      <c r="B108" s="242"/>
      <c r="C108" s="242"/>
      <c r="D108" s="242"/>
      <c r="E108" s="242"/>
      <c r="F108" s="206"/>
      <c r="G108" s="242"/>
      <c r="H108" s="260"/>
      <c r="I108" s="261"/>
      <c r="J108" s="262"/>
      <c r="K108" s="242"/>
    </row>
    <row r="109" spans="2:11">
      <c r="B109" s="242"/>
      <c r="C109" s="242"/>
      <c r="D109" s="242"/>
      <c r="E109" s="242"/>
      <c r="F109" s="206"/>
      <c r="G109" s="242"/>
      <c r="H109" s="260"/>
      <c r="I109" s="261"/>
      <c r="J109" s="262"/>
      <c r="K109" s="242"/>
    </row>
    <row r="110" spans="2:11">
      <c r="B110" s="242"/>
      <c r="C110" s="242"/>
      <c r="D110" s="242"/>
      <c r="E110" s="242"/>
      <c r="F110" s="206"/>
      <c r="G110" s="242"/>
      <c r="H110" s="260"/>
      <c r="I110" s="261"/>
      <c r="J110" s="262"/>
      <c r="K110" s="242"/>
    </row>
    <row r="111" spans="2:11">
      <c r="B111" s="242"/>
      <c r="C111" s="242"/>
      <c r="D111" s="242"/>
      <c r="E111" s="242"/>
      <c r="F111" s="206"/>
      <c r="G111" s="242"/>
      <c r="H111" s="260"/>
      <c r="I111" s="261"/>
      <c r="J111" s="262"/>
      <c r="K111" s="242"/>
    </row>
    <row r="112" spans="2:11">
      <c r="B112" s="242"/>
      <c r="C112" s="242"/>
      <c r="D112" s="242"/>
      <c r="E112" s="242"/>
      <c r="F112" s="206"/>
      <c r="G112" s="242"/>
      <c r="H112" s="260"/>
      <c r="I112" s="261"/>
      <c r="J112" s="262"/>
      <c r="K112" s="242"/>
    </row>
    <row r="113" spans="4:11">
      <c r="D113" s="242"/>
      <c r="E113" s="242"/>
      <c r="F113" s="206"/>
      <c r="G113" s="242"/>
      <c r="H113" s="260"/>
      <c r="I113" s="261"/>
      <c r="J113" s="262"/>
      <c r="K113" s="242"/>
    </row>
    <row r="114" spans="4:11">
      <c r="D114" s="242"/>
      <c r="E114" s="242"/>
      <c r="F114" s="206"/>
      <c r="G114" s="242"/>
      <c r="H114" s="260"/>
      <c r="I114" s="261"/>
      <c r="J114" s="262"/>
      <c r="K114" s="242"/>
    </row>
    <row r="115" spans="4:11">
      <c r="D115" s="242"/>
      <c r="E115" s="242"/>
      <c r="F115" s="206"/>
      <c r="G115" s="242"/>
      <c r="H115" s="260"/>
      <c r="I115" s="261"/>
      <c r="J115" s="262"/>
      <c r="K115" s="242"/>
    </row>
    <row r="116" spans="4:11">
      <c r="D116" s="242"/>
      <c r="E116" s="242"/>
      <c r="F116" s="206"/>
      <c r="G116" s="242"/>
      <c r="H116" s="260"/>
      <c r="I116" s="261"/>
      <c r="J116" s="262"/>
      <c r="K116" s="242"/>
    </row>
    <row r="117" spans="4:11">
      <c r="D117" s="242"/>
      <c r="E117" s="242"/>
      <c r="F117" s="206"/>
      <c r="G117" s="242"/>
      <c r="H117" s="260"/>
      <c r="I117" s="261"/>
      <c r="J117" s="262"/>
      <c r="K117" s="242"/>
    </row>
    <row r="118" spans="4:11">
      <c r="D118" s="242"/>
      <c r="E118" s="242"/>
      <c r="F118" s="206"/>
      <c r="G118" s="242"/>
      <c r="H118" s="260"/>
      <c r="I118" s="261"/>
      <c r="J118" s="262"/>
      <c r="K118" s="242"/>
    </row>
    <row r="119" spans="4:11">
      <c r="D119" s="242"/>
      <c r="E119" s="242"/>
      <c r="F119" s="206"/>
      <c r="G119" s="242"/>
      <c r="H119" s="260"/>
      <c r="I119" s="261"/>
      <c r="J119" s="262"/>
      <c r="K119" s="242"/>
    </row>
    <row r="120" spans="4:11">
      <c r="D120" s="242"/>
      <c r="E120" s="242"/>
      <c r="F120" s="206"/>
      <c r="G120" s="242"/>
      <c r="H120" s="260"/>
      <c r="I120" s="261"/>
      <c r="J120" s="262"/>
      <c r="K120" s="242"/>
    </row>
    <row r="121" spans="4:11">
      <c r="D121" s="242"/>
      <c r="E121" s="242"/>
      <c r="F121" s="206"/>
      <c r="G121" s="242"/>
      <c r="H121" s="260"/>
      <c r="I121" s="261"/>
      <c r="J121" s="262"/>
      <c r="K121" s="242"/>
    </row>
    <row r="122" spans="4:11">
      <c r="D122" s="242"/>
      <c r="E122" s="242"/>
      <c r="F122" s="206"/>
      <c r="G122" s="242"/>
      <c r="H122" s="260"/>
      <c r="I122" s="261"/>
      <c r="J122" s="262"/>
      <c r="K122" s="242"/>
    </row>
    <row r="123" spans="4:11">
      <c r="D123" s="242"/>
      <c r="E123" s="242"/>
      <c r="F123" s="206"/>
      <c r="G123" s="242"/>
      <c r="H123" s="260"/>
      <c r="I123" s="261"/>
      <c r="J123" s="262"/>
      <c r="K123" s="242"/>
    </row>
    <row r="124" spans="4:11">
      <c r="D124" s="242"/>
      <c r="E124" s="242"/>
      <c r="F124" s="206"/>
      <c r="G124" s="242"/>
      <c r="H124" s="260"/>
      <c r="I124" s="261"/>
      <c r="J124" s="262"/>
      <c r="K124" s="242"/>
    </row>
    <row r="125" spans="4:11">
      <c r="D125" s="242"/>
      <c r="E125" s="242"/>
      <c r="F125" s="206"/>
      <c r="G125" s="242"/>
      <c r="H125" s="260"/>
      <c r="I125" s="261"/>
      <c r="J125" s="262"/>
      <c r="K125" s="242"/>
    </row>
    <row r="126" spans="4:11">
      <c r="D126" s="242"/>
      <c r="E126" s="242"/>
      <c r="F126" s="206"/>
      <c r="G126" s="242"/>
      <c r="H126" s="260"/>
      <c r="I126" s="261"/>
      <c r="J126" s="262"/>
      <c r="K126" s="242"/>
    </row>
    <row r="127" spans="4:11">
      <c r="D127" s="242"/>
      <c r="E127" s="242"/>
      <c r="F127" s="206"/>
      <c r="G127" s="242"/>
      <c r="H127" s="260"/>
      <c r="I127" s="261"/>
      <c r="J127" s="262"/>
      <c r="K127" s="242"/>
    </row>
    <row r="128" spans="4:11">
      <c r="D128" s="242"/>
      <c r="E128" s="242"/>
      <c r="F128" s="206"/>
      <c r="G128" s="242"/>
      <c r="H128" s="260"/>
      <c r="I128" s="261"/>
      <c r="J128" s="262"/>
      <c r="K128" s="242"/>
    </row>
    <row r="129" spans="4:11">
      <c r="D129" s="242"/>
      <c r="E129" s="242"/>
      <c r="F129" s="206"/>
      <c r="G129" s="242"/>
      <c r="H129" s="260"/>
      <c r="I129" s="261"/>
      <c r="J129" s="262"/>
      <c r="K129" s="242"/>
    </row>
    <row r="130" spans="4:11">
      <c r="D130" s="242"/>
      <c r="E130" s="242"/>
      <c r="F130" s="206"/>
      <c r="G130" s="242"/>
      <c r="H130" s="260"/>
      <c r="I130" s="261"/>
      <c r="J130" s="262"/>
    </row>
    <row r="131" spans="4:11">
      <c r="D131" s="242"/>
      <c r="E131" s="242"/>
      <c r="F131" s="206"/>
      <c r="G131" s="242"/>
      <c r="H131" s="260"/>
      <c r="I131" s="261"/>
      <c r="J131" s="262"/>
    </row>
    <row r="132" spans="4:11">
      <c r="D132" s="242"/>
      <c r="E132" s="242"/>
      <c r="F132" s="206"/>
      <c r="G132" s="242"/>
      <c r="H132" s="260"/>
      <c r="I132" s="261"/>
      <c r="J132" s="262"/>
    </row>
    <row r="133" spans="4:11">
      <c r="D133" s="242"/>
      <c r="E133" s="242"/>
      <c r="F133" s="206"/>
      <c r="G133" s="242"/>
      <c r="H133" s="260"/>
      <c r="I133" s="261"/>
      <c r="J133" s="262"/>
    </row>
    <row r="134" spans="4:11">
      <c r="D134" s="242"/>
      <c r="E134" s="242"/>
      <c r="F134" s="206"/>
      <c r="G134" s="242"/>
      <c r="H134" s="260"/>
      <c r="I134" s="261"/>
      <c r="J134" s="262"/>
    </row>
    <row r="135" spans="4:11">
      <c r="D135" s="242"/>
      <c r="E135" s="242"/>
      <c r="F135" s="206"/>
      <c r="G135" s="242"/>
      <c r="H135" s="260"/>
      <c r="I135" s="261"/>
      <c r="J135" s="262"/>
    </row>
    <row r="136" spans="4:11">
      <c r="D136" s="242"/>
      <c r="E136" s="242"/>
      <c r="F136" s="206"/>
      <c r="G136" s="242"/>
      <c r="H136" s="260"/>
      <c r="I136" s="261"/>
      <c r="J136" s="262"/>
    </row>
    <row r="137" spans="4:11">
      <c r="D137" s="242"/>
      <c r="E137" s="242"/>
      <c r="F137" s="206"/>
      <c r="G137" s="242"/>
      <c r="H137" s="260"/>
      <c r="I137" s="266"/>
      <c r="J137" s="262"/>
    </row>
    <row r="138" spans="4:11">
      <c r="D138" s="242"/>
      <c r="E138" s="242"/>
      <c r="F138" s="206"/>
      <c r="G138" s="242"/>
      <c r="H138" s="260"/>
      <c r="I138" s="266"/>
      <c r="J138" s="262"/>
    </row>
    <row r="139" spans="4:11">
      <c r="D139" s="242"/>
      <c r="E139" s="242"/>
      <c r="F139" s="206"/>
      <c r="G139" s="242"/>
      <c r="H139" s="260"/>
      <c r="I139" s="266"/>
      <c r="J139" s="262"/>
    </row>
    <row r="140" spans="4:11">
      <c r="D140" s="242"/>
      <c r="E140" s="242"/>
      <c r="F140" s="206"/>
      <c r="G140" s="242"/>
      <c r="H140" s="260"/>
      <c r="I140" s="266"/>
      <c r="J140" s="262"/>
    </row>
    <row r="141" spans="4:11">
      <c r="D141" s="242"/>
      <c r="E141" s="242"/>
      <c r="F141" s="206"/>
      <c r="G141" s="242"/>
      <c r="H141" s="260"/>
      <c r="I141" s="266"/>
      <c r="J141" s="262"/>
    </row>
    <row r="142" spans="4:11">
      <c r="D142" s="242"/>
      <c r="E142" s="242"/>
      <c r="F142" s="206"/>
      <c r="G142" s="242"/>
      <c r="H142" s="260"/>
      <c r="I142" s="266"/>
      <c r="J142" s="262"/>
    </row>
    <row r="143" spans="4:11">
      <c r="D143" s="242"/>
      <c r="E143" s="242"/>
      <c r="F143" s="206"/>
      <c r="G143" s="242"/>
      <c r="H143" s="260"/>
      <c r="I143" s="266"/>
      <c r="J143" s="262"/>
    </row>
    <row r="144" spans="4:11">
      <c r="D144" s="242"/>
      <c r="E144" s="242"/>
      <c r="F144" s="206"/>
      <c r="G144" s="242"/>
      <c r="H144" s="260"/>
      <c r="I144" s="266"/>
      <c r="J144" s="262"/>
    </row>
    <row r="145" spans="4:10">
      <c r="D145" s="242"/>
      <c r="E145" s="242"/>
      <c r="F145" s="206"/>
      <c r="G145" s="242"/>
      <c r="H145" s="260"/>
      <c r="I145" s="266"/>
      <c r="J145" s="262"/>
    </row>
    <row r="146" spans="4:10">
      <c r="D146" s="242"/>
      <c r="E146" s="242"/>
      <c r="F146" s="206"/>
      <c r="G146" s="242"/>
      <c r="H146" s="260"/>
      <c r="I146" s="266"/>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06"/>
    </row>
    <row r="183" spans="4:10">
      <c r="D183" s="242"/>
      <c r="E183" s="242"/>
      <c r="F183" s="206"/>
      <c r="G183" s="242"/>
      <c r="H183" s="260"/>
      <c r="I183" s="266"/>
      <c r="J183" s="206"/>
    </row>
    <row r="184" spans="4:10">
      <c r="D184" s="242"/>
      <c r="E184" s="242"/>
      <c r="F184" s="206"/>
      <c r="G184" s="242"/>
      <c r="H184" s="260"/>
      <c r="I184" s="266"/>
      <c r="J184" s="206"/>
    </row>
    <row r="185" spans="4:10">
      <c r="D185" s="242"/>
      <c r="E185" s="242"/>
      <c r="F185" s="206"/>
      <c r="G185" s="242"/>
      <c r="H185" s="260"/>
      <c r="I185" s="266"/>
      <c r="J185" s="206"/>
    </row>
    <row r="186" spans="4:10">
      <c r="D186" s="242"/>
      <c r="E186" s="242"/>
      <c r="F186" s="206"/>
      <c r="G186" s="242"/>
      <c r="H186" s="260"/>
      <c r="I186" s="266"/>
      <c r="J186" s="206"/>
    </row>
    <row r="187" spans="4:10">
      <c r="D187" s="242"/>
      <c r="E187" s="242"/>
      <c r="F187" s="206"/>
      <c r="G187" s="242"/>
      <c r="H187" s="260"/>
      <c r="I187" s="266"/>
      <c r="J187" s="206"/>
    </row>
    <row r="188" spans="4:10">
      <c r="D188" s="242"/>
      <c r="E188" s="242"/>
      <c r="F188" s="206"/>
      <c r="G188" s="242"/>
      <c r="H188" s="260"/>
      <c r="I188" s="266"/>
      <c r="J188" s="206"/>
    </row>
    <row r="189" spans="4:10">
      <c r="D189" s="242"/>
      <c r="E189" s="242"/>
      <c r="F189" s="206"/>
      <c r="G189" s="242"/>
      <c r="H189" s="260"/>
      <c r="I189" s="266"/>
      <c r="J189" s="206"/>
    </row>
    <row r="190" spans="4:10">
      <c r="D190" s="242"/>
      <c r="E190" s="242"/>
      <c r="F190" s="206"/>
      <c r="G190" s="242"/>
      <c r="H190" s="260"/>
      <c r="I190" s="266"/>
      <c r="J190" s="206"/>
    </row>
    <row r="191" spans="4:10">
      <c r="D191" s="242"/>
      <c r="E191" s="242"/>
      <c r="F191" s="206"/>
      <c r="G191" s="242"/>
      <c r="H191" s="260"/>
      <c r="I191" s="266"/>
      <c r="J191" s="206"/>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06"/>
      <c r="I252" s="266"/>
      <c r="J252" s="206"/>
    </row>
    <row r="253" spans="4:10">
      <c r="D253" s="242"/>
      <c r="E253" s="242"/>
      <c r="F253" s="206"/>
      <c r="G253" s="242"/>
      <c r="H253" s="206"/>
      <c r="I253" s="266"/>
      <c r="J253" s="206"/>
    </row>
    <row r="254" spans="4:10">
      <c r="D254" s="242"/>
      <c r="E254" s="242"/>
      <c r="F254" s="206"/>
      <c r="G254" s="242"/>
      <c r="H254" s="206"/>
      <c r="I254" s="266"/>
      <c r="J254" s="206"/>
    </row>
    <row r="255" spans="4:10">
      <c r="D255" s="242"/>
      <c r="E255" s="242"/>
      <c r="F255" s="206"/>
      <c r="G255" s="242"/>
      <c r="H255" s="206"/>
      <c r="I255" s="266"/>
      <c r="J255" s="206"/>
    </row>
    <row r="256" spans="4:10">
      <c r="D256" s="242"/>
      <c r="E256" s="242"/>
      <c r="F256" s="206"/>
      <c r="G256" s="242"/>
      <c r="H256" s="206"/>
      <c r="I256" s="266"/>
      <c r="J256" s="206"/>
    </row>
    <row r="257" spans="4:10">
      <c r="D257" s="242"/>
      <c r="E257" s="242"/>
      <c r="F257" s="206"/>
      <c r="G257" s="242"/>
      <c r="H257" s="206"/>
      <c r="I257" s="266"/>
      <c r="J257" s="206"/>
    </row>
    <row r="258" spans="4:10">
      <c r="D258" s="242"/>
      <c r="E258" s="242"/>
      <c r="F258" s="206"/>
      <c r="G258" s="242"/>
      <c r="H258" s="206"/>
      <c r="I258" s="266"/>
      <c r="J258" s="206"/>
    </row>
    <row r="259" spans="4:10">
      <c r="D259" s="242"/>
      <c r="E259" s="242"/>
      <c r="F259" s="206"/>
      <c r="G259" s="242"/>
      <c r="H259" s="206"/>
      <c r="I259" s="266"/>
      <c r="J259" s="206"/>
    </row>
    <row r="260" spans="4:10">
      <c r="D260" s="242"/>
      <c r="E260" s="242"/>
      <c r="F260" s="206"/>
      <c r="G260" s="242"/>
      <c r="H260" s="206"/>
      <c r="I260" s="266"/>
      <c r="J260" s="206"/>
    </row>
    <row r="261" spans="4:10">
      <c r="D261" s="242"/>
      <c r="E261" s="242"/>
      <c r="F261" s="206"/>
      <c r="G261" s="242"/>
      <c r="H261" s="206"/>
      <c r="I261" s="266"/>
      <c r="J261" s="206"/>
    </row>
    <row r="262" spans="4:10">
      <c r="D262" s="242"/>
      <c r="E262" s="242"/>
      <c r="F262" s="206"/>
      <c r="G262" s="242"/>
      <c r="H262" s="206"/>
      <c r="I262" s="266"/>
      <c r="J262" s="206"/>
    </row>
    <row r="263" spans="4:10">
      <c r="D263" s="242"/>
      <c r="E263" s="242"/>
      <c r="F263" s="206"/>
      <c r="G263" s="242"/>
      <c r="H263" s="206"/>
      <c r="I263" s="266"/>
      <c r="J263" s="206"/>
    </row>
    <row r="264" spans="4:10">
      <c r="D264" s="242"/>
      <c r="E264" s="242"/>
      <c r="F264" s="206"/>
      <c r="G264" s="242"/>
      <c r="H264" s="206"/>
      <c r="I264" s="266"/>
      <c r="J264" s="206"/>
    </row>
    <row r="265" spans="4:10">
      <c r="D265" s="242"/>
      <c r="E265" s="242"/>
      <c r="F265" s="206"/>
      <c r="G265" s="242"/>
      <c r="H265" s="206"/>
      <c r="I265" s="266"/>
      <c r="J265" s="206"/>
    </row>
    <row r="266" spans="4:10">
      <c r="D266" s="242"/>
      <c r="E266" s="242"/>
      <c r="F266" s="206"/>
      <c r="G266" s="242"/>
      <c r="H266" s="206"/>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D272" s="242"/>
      <c r="E272" s="242"/>
      <c r="F272" s="206"/>
      <c r="G272" s="242"/>
      <c r="H272" s="206"/>
      <c r="I272" s="266"/>
      <c r="J272" s="206"/>
    </row>
    <row r="273" spans="4:10">
      <c r="D273" s="242"/>
      <c r="E273" s="242"/>
      <c r="F273" s="206"/>
      <c r="G273" s="242"/>
      <c r="H273" s="206"/>
      <c r="I273" s="266"/>
      <c r="J273" s="206"/>
    </row>
    <row r="274" spans="4:10">
      <c r="D274" s="242"/>
      <c r="E274" s="242"/>
      <c r="F274" s="206"/>
      <c r="G274" s="242"/>
      <c r="H274" s="206"/>
      <c r="I274" s="266"/>
      <c r="J274" s="206"/>
    </row>
    <row r="275" spans="4:10">
      <c r="D275" s="242"/>
      <c r="E275" s="242"/>
      <c r="F275" s="206"/>
      <c r="G275" s="242"/>
      <c r="H275" s="206"/>
      <c r="I275" s="266"/>
      <c r="J275" s="206"/>
    </row>
    <row r="276" spans="4:10">
      <c r="I276" s="267"/>
    </row>
    <row r="277" spans="4:10">
      <c r="I277" s="267"/>
    </row>
    <row r="278" spans="4:10">
      <c r="I278" s="267"/>
    </row>
    <row r="279" spans="4:10">
      <c r="I279" s="267"/>
    </row>
    <row r="280" spans="4:10">
      <c r="I280" s="267"/>
    </row>
    <row r="281" spans="4:10">
      <c r="I281" s="267"/>
    </row>
    <row r="282" spans="4:10">
      <c r="I282" s="267"/>
    </row>
    <row r="283" spans="4:10">
      <c r="I283" s="267"/>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283"/>
  <sheetViews>
    <sheetView view="pageBreakPreview" topLeftCell="A41" zoomScale="130" zoomScaleSheetLayoutView="130" workbookViewId="0">
      <selection activeCell="H63" sqref="H63"/>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41</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Q19</f>
        <v>42.64</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f>R13+R14</f>
        <v>2</v>
      </c>
      <c r="G11" s="167"/>
      <c r="H11" s="176"/>
      <c r="I11" s="163"/>
      <c r="J11" s="176">
        <f>F11*H11</f>
        <v>0</v>
      </c>
      <c r="K11" s="136"/>
      <c r="L11" s="136" t="s">
        <v>456</v>
      </c>
      <c r="N11">
        <v>0</v>
      </c>
      <c r="O11">
        <v>6.7</v>
      </c>
      <c r="P11">
        <v>0</v>
      </c>
      <c r="Q11">
        <v>172.56</v>
      </c>
      <c r="R11">
        <v>165.26</v>
      </c>
      <c r="S11">
        <v>7.3</v>
      </c>
      <c r="T11">
        <v>0</v>
      </c>
      <c r="U11">
        <v>0</v>
      </c>
      <c r="V11">
        <v>0</v>
      </c>
      <c r="W11">
        <v>170.47</v>
      </c>
      <c r="X11">
        <v>119.96</v>
      </c>
      <c r="Y11">
        <v>25.57</v>
      </c>
      <c r="Z11">
        <v>20.54</v>
      </c>
      <c r="AA11">
        <v>4.4000000000000004</v>
      </c>
      <c r="AB11">
        <v>119.96</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1</v>
      </c>
      <c r="G13" s="167"/>
      <c r="H13" s="176"/>
      <c r="I13" s="182"/>
      <c r="J13" s="176">
        <f>F13*H13</f>
        <v>0</v>
      </c>
      <c r="K13" s="136"/>
      <c r="L13" s="136" t="s">
        <v>179</v>
      </c>
      <c r="M13" t="s">
        <v>389</v>
      </c>
      <c r="N13">
        <v>1</v>
      </c>
      <c r="O13" t="s">
        <v>390</v>
      </c>
      <c r="P13" t="s">
        <v>391</v>
      </c>
      <c r="Q13">
        <v>1000</v>
      </c>
      <c r="R13">
        <v>0</v>
      </c>
    </row>
    <row r="14" spans="1:28" ht="14.25">
      <c r="A14" s="172"/>
      <c r="B14" s="173"/>
      <c r="C14" s="173"/>
      <c r="D14" s="165"/>
      <c r="E14" s="165"/>
      <c r="F14" s="166"/>
      <c r="G14" s="167"/>
      <c r="H14" s="168"/>
      <c r="I14" s="182"/>
      <c r="J14" s="168"/>
      <c r="K14" s="136"/>
      <c r="L14" s="136" t="s">
        <v>177</v>
      </c>
      <c r="M14" t="s">
        <v>389</v>
      </c>
      <c r="N14">
        <v>11</v>
      </c>
      <c r="O14" t="s">
        <v>392</v>
      </c>
      <c r="P14" t="s">
        <v>391</v>
      </c>
      <c r="Q14">
        <v>1000</v>
      </c>
      <c r="R14">
        <v>2</v>
      </c>
    </row>
    <row r="15" spans="1:28" ht="14.25">
      <c r="A15" s="172" t="s">
        <v>67</v>
      </c>
      <c r="B15" s="173" t="s">
        <v>74</v>
      </c>
      <c r="C15" s="173"/>
      <c r="D15" s="174" t="s">
        <v>190</v>
      </c>
      <c r="E15" s="165"/>
      <c r="F15" s="175">
        <v>1</v>
      </c>
      <c r="G15" s="167"/>
      <c r="H15" s="176"/>
      <c r="I15" s="182"/>
      <c r="J15" s="176">
        <f>F15*H15</f>
        <v>0</v>
      </c>
      <c r="K15" s="136"/>
      <c r="L15" s="136"/>
    </row>
    <row r="16" spans="1:28" ht="14.25">
      <c r="A16" s="172"/>
      <c r="B16" s="173"/>
      <c r="C16" s="173"/>
      <c r="D16" s="165"/>
      <c r="E16" s="165"/>
      <c r="F16" s="166"/>
      <c r="G16" s="167"/>
      <c r="H16" s="168"/>
      <c r="I16" s="182"/>
      <c r="J16" s="168"/>
      <c r="K16" s="136"/>
      <c r="L16" s="136"/>
    </row>
    <row r="17" spans="1:17" ht="15" thickBot="1">
      <c r="A17" s="183"/>
      <c r="B17" s="184" t="s">
        <v>75</v>
      </c>
      <c r="C17" s="184"/>
      <c r="D17" s="185"/>
      <c r="E17" s="185"/>
      <c r="F17" s="186"/>
      <c r="G17" s="185"/>
      <c r="H17" s="187"/>
      <c r="I17" s="188"/>
      <c r="J17" s="189">
        <f>SUM(J9:J15)</f>
        <v>0</v>
      </c>
      <c r="K17" s="136"/>
      <c r="L17" s="136"/>
    </row>
    <row r="18" spans="1:17" ht="15" thickTop="1">
      <c r="A18" s="190"/>
      <c r="B18" s="191"/>
      <c r="C18" s="191"/>
      <c r="D18" s="192"/>
      <c r="E18" s="192"/>
      <c r="F18" s="165"/>
      <c r="G18" s="192"/>
      <c r="H18" s="193"/>
      <c r="I18" s="182"/>
      <c r="J18" s="194"/>
      <c r="K18" s="136"/>
      <c r="L18" s="136" t="s">
        <v>221</v>
      </c>
      <c r="N18" t="s">
        <v>239</v>
      </c>
      <c r="P18" t="s">
        <v>238</v>
      </c>
      <c r="Q18" s="450" t="s">
        <v>394</v>
      </c>
    </row>
    <row r="19" spans="1:17" ht="14.25">
      <c r="A19" s="190"/>
      <c r="B19" s="191"/>
      <c r="C19" s="191"/>
      <c r="D19" s="192"/>
      <c r="E19" s="192"/>
      <c r="F19" s="165"/>
      <c r="G19" s="192"/>
      <c r="H19" s="193"/>
      <c r="I19" s="182"/>
      <c r="J19" s="194"/>
      <c r="K19" s="136"/>
      <c r="L19" s="136" t="s">
        <v>240</v>
      </c>
      <c r="N19">
        <v>311.7</v>
      </c>
      <c r="P19">
        <v>235.4</v>
      </c>
      <c r="Q19">
        <v>42.64</v>
      </c>
    </row>
    <row r="20" spans="1:17" ht="15">
      <c r="A20" s="195" t="s">
        <v>61</v>
      </c>
      <c r="B20" s="196" t="s">
        <v>76</v>
      </c>
      <c r="C20" s="196"/>
      <c r="D20" s="160"/>
      <c r="E20" s="160"/>
      <c r="F20" s="170"/>
      <c r="G20" s="171"/>
      <c r="H20" s="197"/>
      <c r="I20" s="180"/>
      <c r="J20" s="198"/>
      <c r="K20" s="136"/>
      <c r="L20" s="136"/>
    </row>
    <row r="21" spans="1:17" ht="15">
      <c r="A21" s="195"/>
      <c r="B21" s="453" t="s">
        <v>452</v>
      </c>
      <c r="C21" s="196"/>
      <c r="D21" s="160"/>
      <c r="E21" s="160"/>
      <c r="F21" s="170"/>
      <c r="G21" s="171"/>
      <c r="H21" s="197"/>
      <c r="I21" s="180"/>
      <c r="J21" s="198"/>
      <c r="K21" s="136"/>
      <c r="L21" s="136"/>
    </row>
    <row r="22" spans="1:17" ht="15">
      <c r="A22" s="195"/>
      <c r="B22" s="196"/>
      <c r="C22" s="196"/>
      <c r="D22" s="160"/>
      <c r="E22" s="160"/>
      <c r="F22" s="170"/>
      <c r="G22" s="171"/>
      <c r="H22" s="197"/>
      <c r="I22" s="180"/>
      <c r="J22" s="198"/>
      <c r="K22" s="136"/>
      <c r="L22" s="136"/>
    </row>
    <row r="23" spans="1:17" ht="51">
      <c r="A23" s="203" t="s">
        <v>61</v>
      </c>
      <c r="B23" s="204" t="s">
        <v>22</v>
      </c>
      <c r="C23" s="205"/>
      <c r="D23" s="206"/>
      <c r="E23" s="206"/>
      <c r="F23" s="207"/>
      <c r="G23" s="208"/>
      <c r="H23" s="209"/>
      <c r="I23" s="180"/>
      <c r="J23" s="194"/>
      <c r="K23" s="136"/>
      <c r="L23" s="136"/>
    </row>
    <row r="24" spans="1:17" ht="15.75">
      <c r="A24" s="210"/>
      <c r="B24" s="205" t="s">
        <v>78</v>
      </c>
      <c r="C24" s="205"/>
      <c r="D24" s="211" t="s">
        <v>108</v>
      </c>
      <c r="E24" s="206"/>
      <c r="F24" s="175">
        <f>F9*1*0.95</f>
        <v>40.507999999999996</v>
      </c>
      <c r="G24" s="208"/>
      <c r="H24" s="213"/>
      <c r="I24" s="180"/>
      <c r="J24" s="202">
        <f>F24*H24</f>
        <v>0</v>
      </c>
      <c r="K24" s="136"/>
      <c r="L24" s="136"/>
    </row>
    <row r="25" spans="1:17" ht="14.25">
      <c r="A25" s="203"/>
      <c r="B25" s="205" t="s">
        <v>79</v>
      </c>
      <c r="C25" s="205"/>
      <c r="D25" s="211" t="s">
        <v>108</v>
      </c>
      <c r="E25" s="206"/>
      <c r="F25" s="181">
        <f>F9*1*0.05</f>
        <v>2.1320000000000001</v>
      </c>
      <c r="G25" s="208"/>
      <c r="H25" s="213"/>
      <c r="I25" s="180"/>
      <c r="J25" s="202">
        <f>F25*H25</f>
        <v>0</v>
      </c>
      <c r="K25" s="136"/>
      <c r="L25" s="136"/>
    </row>
    <row r="26" spans="1:17" ht="14.25">
      <c r="A26" s="172"/>
      <c r="B26" s="173"/>
      <c r="C26" s="173"/>
      <c r="D26" s="165"/>
      <c r="E26" s="160"/>
      <c r="F26" s="222"/>
      <c r="G26" s="223"/>
      <c r="H26" s="215"/>
      <c r="I26" s="180"/>
      <c r="J26" s="194"/>
      <c r="K26" s="199"/>
      <c r="L26" s="199"/>
      <c r="N26" s="200"/>
      <c r="O26" s="200"/>
    </row>
    <row r="27" spans="1:17" ht="51">
      <c r="A27" s="172" t="s">
        <v>63</v>
      </c>
      <c r="B27" s="224" t="s">
        <v>80</v>
      </c>
      <c r="C27" s="225"/>
      <c r="D27" s="174" t="s">
        <v>108</v>
      </c>
      <c r="E27" s="160"/>
      <c r="F27" s="175">
        <f>AA11</f>
        <v>4.4000000000000004</v>
      </c>
      <c r="G27" s="167"/>
      <c r="H27" s="213"/>
      <c r="I27" s="169"/>
      <c r="J27" s="202">
        <f>F27*H27</f>
        <v>0</v>
      </c>
      <c r="K27" s="200"/>
      <c r="L27" s="199"/>
      <c r="M27" s="200"/>
    </row>
    <row r="28" spans="1:17" ht="14.25">
      <c r="A28" s="172"/>
      <c r="B28" s="224"/>
      <c r="C28" s="225"/>
      <c r="D28" s="160"/>
      <c r="E28" s="160"/>
      <c r="F28" s="166"/>
      <c r="G28" s="167"/>
      <c r="H28" s="215"/>
      <c r="I28" s="169"/>
      <c r="J28" s="194"/>
      <c r="K28" s="200"/>
      <c r="L28" s="199"/>
      <c r="M28" s="200"/>
    </row>
    <row r="29" spans="1:17" ht="38.25">
      <c r="A29" s="172" t="s">
        <v>67</v>
      </c>
      <c r="B29" s="173" t="s">
        <v>24</v>
      </c>
      <c r="C29" s="225"/>
      <c r="D29" s="174" t="s">
        <v>108</v>
      </c>
      <c r="E29" s="160"/>
      <c r="F29" s="175">
        <f>Z11</f>
        <v>20.54</v>
      </c>
      <c r="G29" s="167"/>
      <c r="H29" s="213"/>
      <c r="I29" s="169"/>
      <c r="J29" s="202">
        <f>F29*H29</f>
        <v>0</v>
      </c>
      <c r="K29" s="200"/>
      <c r="L29" s="199"/>
      <c r="M29" s="200"/>
    </row>
    <row r="30" spans="1:17" ht="14.25">
      <c r="A30" s="172"/>
      <c r="B30" s="173"/>
      <c r="C30" s="225"/>
      <c r="D30" s="165"/>
      <c r="E30" s="160"/>
      <c r="F30" s="166"/>
      <c r="G30" s="167"/>
      <c r="H30" s="215"/>
      <c r="I30" s="169"/>
      <c r="J30" s="194"/>
      <c r="K30" s="200"/>
      <c r="L30" s="199"/>
      <c r="M30" s="200"/>
    </row>
    <row r="31" spans="1:17" ht="76.5">
      <c r="A31" s="172" t="s">
        <v>68</v>
      </c>
      <c r="B31" s="224" t="s">
        <v>25</v>
      </c>
      <c r="C31" s="226"/>
      <c r="D31" s="179"/>
      <c r="E31" s="179"/>
      <c r="F31" s="166"/>
      <c r="G31" s="167"/>
      <c r="H31" s="198"/>
      <c r="I31" s="163"/>
      <c r="J31" s="198"/>
      <c r="K31" s="171"/>
      <c r="L31" s="219"/>
      <c r="M31" s="200"/>
    </row>
    <row r="32" spans="1:17" ht="15">
      <c r="A32" s="172"/>
      <c r="B32" s="173" t="s">
        <v>78</v>
      </c>
      <c r="C32" s="173"/>
      <c r="D32" s="174" t="s">
        <v>108</v>
      </c>
      <c r="E32" s="160"/>
      <c r="F32" s="175">
        <f>(F24+F25-F27-F29)*0.95</f>
        <v>16.814999999999994</v>
      </c>
      <c r="G32" s="167"/>
      <c r="H32" s="213"/>
      <c r="I32" s="163"/>
      <c r="J32" s="202">
        <f>F32*H32</f>
        <v>0</v>
      </c>
      <c r="K32" s="171"/>
      <c r="L32" s="219"/>
      <c r="M32" s="200"/>
    </row>
    <row r="33" spans="1:15" ht="14.25">
      <c r="A33" s="172"/>
      <c r="B33" s="173" t="s">
        <v>79</v>
      </c>
      <c r="C33" s="173"/>
      <c r="D33" s="174" t="s">
        <v>108</v>
      </c>
      <c r="E33" s="160"/>
      <c r="F33" s="181">
        <f>(F24+F25-F27-F29)*0.05</f>
        <v>0.88499999999999979</v>
      </c>
      <c r="G33" s="167"/>
      <c r="H33" s="213"/>
      <c r="I33" s="163"/>
      <c r="J33" s="202">
        <f>F33*H33</f>
        <v>0</v>
      </c>
      <c r="K33" s="199"/>
      <c r="L33" s="199"/>
      <c r="M33" s="200"/>
      <c r="N33" s="200"/>
      <c r="O33" s="200"/>
    </row>
    <row r="34" spans="1:15" ht="14.25">
      <c r="A34" s="172"/>
      <c r="B34" s="173"/>
      <c r="C34" s="173"/>
      <c r="D34" s="165"/>
      <c r="E34" s="160"/>
      <c r="F34" s="166"/>
      <c r="G34" s="167"/>
      <c r="H34" s="215"/>
      <c r="I34" s="163"/>
      <c r="J34" s="194"/>
      <c r="K34" s="199"/>
      <c r="L34" s="199"/>
      <c r="M34" s="200"/>
      <c r="N34" s="200"/>
      <c r="O34" s="200"/>
    </row>
    <row r="35" spans="1:15" ht="25.5">
      <c r="A35" s="172" t="s">
        <v>69</v>
      </c>
      <c r="B35" s="228" t="s">
        <v>27</v>
      </c>
      <c r="C35" s="226"/>
      <c r="D35" s="174" t="s">
        <v>108</v>
      </c>
      <c r="E35" s="160"/>
      <c r="F35" s="175">
        <f>F24+F25-F32-F33</f>
        <v>24.939999999999998</v>
      </c>
      <c r="G35" s="167"/>
      <c r="H35" s="213"/>
      <c r="I35" s="163"/>
      <c r="J35" s="202">
        <f>F35*H35</f>
        <v>0</v>
      </c>
      <c r="K35" s="199"/>
      <c r="L35" s="199"/>
      <c r="M35" s="200"/>
      <c r="N35" s="200"/>
      <c r="O35" s="200"/>
    </row>
    <row r="36" spans="1:15">
      <c r="A36" s="172"/>
      <c r="B36" s="228"/>
      <c r="C36" s="226"/>
      <c r="D36" s="165"/>
      <c r="E36" s="160"/>
      <c r="F36" s="166"/>
      <c r="G36" s="167"/>
      <c r="H36" s="215"/>
      <c r="I36" s="163"/>
      <c r="J36" s="194"/>
      <c r="K36" s="217"/>
      <c r="L36" s="200"/>
      <c r="M36" s="200"/>
      <c r="N36" s="200"/>
      <c r="O36" s="200"/>
    </row>
    <row r="37" spans="1:15" ht="13.5" thickBot="1">
      <c r="A37" s="183"/>
      <c r="B37" s="232" t="s">
        <v>28</v>
      </c>
      <c r="C37" s="232"/>
      <c r="D37" s="233"/>
      <c r="E37" s="233"/>
      <c r="F37" s="234"/>
      <c r="G37" s="235"/>
      <c r="H37" s="189"/>
      <c r="I37" s="236"/>
      <c r="J37" s="189">
        <f>SUM(J22:J36)</f>
        <v>0</v>
      </c>
      <c r="K37" s="217"/>
      <c r="L37" s="200"/>
      <c r="M37" s="200"/>
      <c r="N37" s="200"/>
      <c r="O37" s="200"/>
    </row>
    <row r="38" spans="1:15" ht="13.5" thickTop="1">
      <c r="A38" s="190"/>
      <c r="B38" s="237"/>
      <c r="C38" s="237"/>
      <c r="D38" s="238"/>
      <c r="E38" s="238"/>
      <c r="F38" s="166"/>
      <c r="G38" s="167"/>
      <c r="H38" s="194"/>
      <c r="I38" s="169"/>
      <c r="J38" s="194"/>
      <c r="K38" s="217"/>
      <c r="L38" s="200"/>
      <c r="M38" s="200"/>
      <c r="N38" s="200"/>
      <c r="O38" s="200"/>
    </row>
    <row r="39" spans="1:15">
      <c r="A39" s="190"/>
      <c r="B39" s="237"/>
      <c r="C39" s="237"/>
      <c r="D39" s="238"/>
      <c r="E39" s="238"/>
      <c r="F39" s="166"/>
      <c r="G39" s="167"/>
      <c r="H39" s="194"/>
      <c r="I39" s="169"/>
      <c r="J39" s="194"/>
      <c r="K39" s="217"/>
      <c r="L39" s="200"/>
      <c r="M39" s="200"/>
      <c r="N39" s="200"/>
      <c r="O39" s="200"/>
    </row>
    <row r="40" spans="1:15" ht="15">
      <c r="A40" s="195" t="s">
        <v>63</v>
      </c>
      <c r="B40" s="239" t="s">
        <v>29</v>
      </c>
      <c r="C40" s="239"/>
      <c r="D40" s="160"/>
      <c r="E40" s="160"/>
      <c r="F40" s="170"/>
      <c r="G40" s="171"/>
      <c r="H40" s="198"/>
      <c r="I40" s="163"/>
      <c r="J40" s="198"/>
      <c r="K40" s="217"/>
      <c r="L40" s="200"/>
      <c r="M40" s="200"/>
      <c r="N40" s="200"/>
      <c r="O40" s="200"/>
    </row>
    <row r="41" spans="1:15" ht="15">
      <c r="A41" s="195"/>
      <c r="B41" s="239"/>
      <c r="C41" s="239"/>
      <c r="D41" s="160"/>
      <c r="E41" s="160"/>
      <c r="F41" s="170"/>
      <c r="G41" s="171"/>
      <c r="H41" s="198"/>
      <c r="I41" s="163"/>
      <c r="J41" s="198"/>
      <c r="K41" s="217"/>
      <c r="L41" s="200"/>
      <c r="M41" s="200"/>
    </row>
    <row r="42" spans="1:15" ht="38.25">
      <c r="A42" s="172" t="s">
        <v>58</v>
      </c>
      <c r="B42" s="226" t="s">
        <v>396</v>
      </c>
      <c r="C42" s="226"/>
      <c r="D42" s="174" t="s">
        <v>60</v>
      </c>
      <c r="E42" s="160"/>
      <c r="F42" s="240">
        <f>Q19</f>
        <v>42.64</v>
      </c>
      <c r="G42" s="223"/>
      <c r="H42" s="213"/>
      <c r="I42" s="163"/>
      <c r="J42" s="202">
        <f>F42*H42</f>
        <v>0</v>
      </c>
      <c r="K42" s="217"/>
      <c r="L42" s="200"/>
      <c r="M42" s="200"/>
      <c r="N42" s="200"/>
      <c r="O42" s="200"/>
    </row>
    <row r="43" spans="1:15">
      <c r="A43" s="172"/>
      <c r="B43" s="226"/>
      <c r="C43" s="226"/>
      <c r="D43" s="160"/>
      <c r="E43" s="160"/>
      <c r="F43" s="170"/>
      <c r="G43" s="171"/>
      <c r="H43" s="198"/>
      <c r="I43" s="163"/>
      <c r="J43" s="198"/>
      <c r="K43" s="217"/>
      <c r="L43" s="200"/>
      <c r="M43" s="200"/>
      <c r="N43" s="200"/>
      <c r="O43" s="200"/>
    </row>
    <row r="44" spans="1:15">
      <c r="A44" s="172"/>
      <c r="B44" s="226"/>
      <c r="C44" s="226"/>
      <c r="D44" s="160"/>
      <c r="E44" s="160"/>
      <c r="F44" s="170"/>
      <c r="G44" s="171"/>
      <c r="H44" s="198"/>
      <c r="I44" s="163"/>
      <c r="J44" s="198"/>
      <c r="K44" s="217"/>
      <c r="L44" s="200"/>
      <c r="M44" s="200"/>
      <c r="N44" s="200"/>
      <c r="O44" s="200"/>
    </row>
    <row r="45" spans="1:15" ht="51">
      <c r="A45" s="172" t="s">
        <v>63</v>
      </c>
      <c r="B45" s="241" t="s">
        <v>398</v>
      </c>
      <c r="C45" s="241"/>
      <c r="D45" s="165"/>
      <c r="E45" s="165"/>
      <c r="F45" s="166"/>
      <c r="G45" s="167"/>
      <c r="H45" s="198"/>
      <c r="I45" s="163"/>
      <c r="J45" s="198"/>
      <c r="K45" s="217"/>
      <c r="L45" s="200"/>
      <c r="M45" s="200"/>
      <c r="N45" s="200"/>
      <c r="O45" s="200"/>
    </row>
    <row r="46" spans="1:15">
      <c r="A46" s="172"/>
      <c r="B46" s="241"/>
      <c r="C46" s="241"/>
      <c r="D46" s="174" t="s">
        <v>190</v>
      </c>
      <c r="E46" s="165"/>
      <c r="F46" s="175">
        <v>3</v>
      </c>
      <c r="G46" s="167"/>
      <c r="H46" s="213"/>
      <c r="I46" s="163"/>
      <c r="J46" s="202">
        <f>F46*H46</f>
        <v>0</v>
      </c>
      <c r="K46" s="217"/>
      <c r="L46" s="200"/>
      <c r="M46" s="200"/>
      <c r="N46" s="200"/>
      <c r="O46" s="200"/>
    </row>
    <row r="47" spans="1:15">
      <c r="A47" s="172"/>
      <c r="B47" s="241"/>
      <c r="C47" s="241"/>
      <c r="D47" s="160"/>
      <c r="E47" s="160"/>
      <c r="F47" s="170"/>
      <c r="G47" s="171"/>
      <c r="H47" s="198"/>
      <c r="I47" s="163"/>
      <c r="J47" s="198"/>
      <c r="K47" s="217"/>
      <c r="L47" s="200"/>
      <c r="M47" s="200"/>
      <c r="N47" s="200"/>
      <c r="O47" s="200"/>
    </row>
    <row r="48" spans="1:15" ht="51">
      <c r="A48" s="172" t="s">
        <v>67</v>
      </c>
      <c r="B48" s="241" t="s">
        <v>397</v>
      </c>
      <c r="C48" s="241"/>
      <c r="D48" s="165"/>
      <c r="E48" s="165"/>
      <c r="F48" s="166"/>
      <c r="G48" s="167"/>
      <c r="H48" s="198"/>
      <c r="I48" s="163"/>
      <c r="J48" s="198"/>
      <c r="K48" s="217"/>
      <c r="L48" s="200"/>
      <c r="M48" s="200"/>
      <c r="N48" s="200"/>
      <c r="O48" s="200"/>
    </row>
    <row r="49" spans="1:15">
      <c r="A49" s="172"/>
      <c r="B49" s="241"/>
      <c r="C49" s="241"/>
      <c r="D49" s="174" t="s">
        <v>190</v>
      </c>
      <c r="E49" s="165"/>
      <c r="F49" s="175">
        <f>R14</f>
        <v>2</v>
      </c>
      <c r="G49" s="167"/>
      <c r="H49" s="213"/>
      <c r="I49" s="163"/>
      <c r="J49" s="202">
        <f>F49*H49</f>
        <v>0</v>
      </c>
      <c r="K49" s="217"/>
      <c r="L49" s="200"/>
      <c r="M49" s="200"/>
      <c r="N49" s="200"/>
      <c r="O49" s="200"/>
    </row>
    <row r="50" spans="1:15">
      <c r="A50" s="172"/>
      <c r="B50" s="241"/>
      <c r="C50" s="241"/>
      <c r="D50" s="160"/>
      <c r="E50" s="160"/>
      <c r="F50" s="170"/>
      <c r="G50" s="171"/>
      <c r="H50" s="198"/>
      <c r="I50" s="163"/>
      <c r="J50" s="198"/>
      <c r="K50" s="217"/>
      <c r="L50" s="200"/>
      <c r="M50" s="200"/>
      <c r="N50" s="200"/>
      <c r="O50" s="200"/>
    </row>
    <row r="51" spans="1:15" ht="13.5" thickBot="1">
      <c r="A51" s="243"/>
      <c r="B51" s="244" t="s">
        <v>30</v>
      </c>
      <c r="C51" s="244"/>
      <c r="D51" s="186"/>
      <c r="E51" s="186"/>
      <c r="F51" s="234"/>
      <c r="G51" s="235"/>
      <c r="H51" s="189"/>
      <c r="I51" s="236"/>
      <c r="J51" s="189">
        <f>SUM(J42:J49)</f>
        <v>0</v>
      </c>
      <c r="K51" s="217"/>
      <c r="L51" s="200"/>
      <c r="M51" s="200"/>
      <c r="N51" s="200"/>
      <c r="O51" s="200"/>
    </row>
    <row r="52" spans="1:15" ht="13.5" thickTop="1">
      <c r="A52" s="245"/>
      <c r="B52" s="246"/>
      <c r="C52" s="246"/>
      <c r="D52" s="165"/>
      <c r="E52" s="165"/>
      <c r="F52" s="166"/>
      <c r="G52" s="167"/>
      <c r="H52" s="194"/>
      <c r="I52" s="169"/>
      <c r="J52" s="194"/>
      <c r="K52" s="242"/>
    </row>
    <row r="53" spans="1:15" ht="15.75">
      <c r="A53" s="247" t="s">
        <v>67</v>
      </c>
      <c r="B53" s="248" t="s">
        <v>31</v>
      </c>
      <c r="C53" s="248"/>
      <c r="D53" s="192"/>
      <c r="E53" s="192"/>
      <c r="F53" s="166"/>
      <c r="G53" s="167"/>
      <c r="H53" s="150"/>
      <c r="I53" s="163"/>
      <c r="J53" s="198"/>
      <c r="K53" s="242"/>
    </row>
    <row r="54" spans="1:15">
      <c r="A54" s="172"/>
      <c r="B54" s="249"/>
      <c r="C54" s="249"/>
      <c r="D54" s="250"/>
      <c r="E54" s="250"/>
      <c r="F54" s="170"/>
      <c r="G54" s="171"/>
      <c r="H54" s="150"/>
      <c r="I54" s="163"/>
      <c r="J54" s="198"/>
      <c r="K54" s="242"/>
    </row>
    <row r="55" spans="1:15" ht="25.5">
      <c r="A55" s="172" t="s">
        <v>58</v>
      </c>
      <c r="B55" s="173" t="s">
        <v>32</v>
      </c>
      <c r="C55" s="173"/>
      <c r="D55" s="251" t="s">
        <v>60</v>
      </c>
      <c r="E55" s="179"/>
      <c r="F55" s="175">
        <f>F9</f>
        <v>42.64</v>
      </c>
      <c r="G55" s="167"/>
      <c r="H55" s="213"/>
      <c r="I55" s="163"/>
      <c r="J55" s="202">
        <f>F55*H55</f>
        <v>0</v>
      </c>
      <c r="K55" s="242"/>
    </row>
    <row r="56" spans="1:15">
      <c r="A56" s="172"/>
      <c r="B56" s="173"/>
      <c r="C56" s="173"/>
      <c r="D56" s="179"/>
      <c r="E56" s="179"/>
      <c r="F56" s="170"/>
      <c r="G56" s="171"/>
      <c r="H56" s="150"/>
      <c r="I56" s="163"/>
      <c r="J56" s="198"/>
      <c r="K56" s="242"/>
    </row>
    <row r="57" spans="1:15">
      <c r="A57" s="172" t="s">
        <v>67</v>
      </c>
      <c r="B57" s="173" t="s">
        <v>33</v>
      </c>
      <c r="C57" s="173"/>
      <c r="D57" s="251" t="s">
        <v>60</v>
      </c>
      <c r="E57" s="179"/>
      <c r="F57" s="175">
        <f>F9</f>
        <v>42.64</v>
      </c>
      <c r="G57" s="167"/>
      <c r="H57" s="213"/>
      <c r="I57" s="163"/>
      <c r="J57" s="202">
        <f>F57*H57</f>
        <v>0</v>
      </c>
      <c r="K57" s="242"/>
    </row>
    <row r="58" spans="1:15">
      <c r="A58" s="172"/>
      <c r="B58" s="173"/>
      <c r="C58" s="173"/>
      <c r="D58" s="179"/>
      <c r="E58" s="179"/>
      <c r="F58" s="170"/>
      <c r="G58" s="171"/>
      <c r="H58" s="150"/>
      <c r="I58" s="163"/>
      <c r="J58" s="198"/>
      <c r="K58" s="242"/>
    </row>
    <row r="59" spans="1:15">
      <c r="A59" s="172" t="s">
        <v>68</v>
      </c>
      <c r="B59" s="173" t="s">
        <v>34</v>
      </c>
      <c r="C59" s="173"/>
      <c r="D59" s="251" t="s">
        <v>190</v>
      </c>
      <c r="E59" s="179"/>
      <c r="F59" s="175">
        <f>F46+F49</f>
        <v>5</v>
      </c>
      <c r="G59" s="167"/>
      <c r="H59" s="213"/>
      <c r="I59" s="163"/>
      <c r="J59" s="202">
        <f>F59*H59</f>
        <v>0</v>
      </c>
      <c r="K59" s="242"/>
    </row>
    <row r="60" spans="1:15">
      <c r="A60" s="172"/>
      <c r="B60" s="173"/>
      <c r="C60" s="173"/>
      <c r="D60" s="179"/>
      <c r="E60" s="179"/>
      <c r="F60" s="170"/>
      <c r="G60" s="171"/>
      <c r="H60" s="150"/>
      <c r="I60" s="163"/>
      <c r="J60" s="198"/>
      <c r="K60" s="242"/>
    </row>
    <row r="61" spans="1:15" ht="25.5">
      <c r="A61" s="172" t="s">
        <v>69</v>
      </c>
      <c r="B61" s="173" t="s">
        <v>35</v>
      </c>
      <c r="C61" s="173"/>
      <c r="D61" s="251" t="s">
        <v>60</v>
      </c>
      <c r="E61" s="179"/>
      <c r="F61" s="175">
        <f>F9</f>
        <v>42.64</v>
      </c>
      <c r="G61" s="167"/>
      <c r="H61" s="213"/>
      <c r="I61" s="163"/>
      <c r="J61" s="202">
        <f>F61*H61</f>
        <v>0</v>
      </c>
      <c r="K61" s="242"/>
    </row>
    <row r="62" spans="1:15">
      <c r="A62" s="172"/>
      <c r="B62" s="173"/>
      <c r="C62" s="173"/>
      <c r="D62" s="179"/>
      <c r="E62" s="179"/>
      <c r="F62" s="170"/>
      <c r="G62" s="171"/>
      <c r="H62" s="150"/>
      <c r="I62" s="163"/>
      <c r="J62" s="198"/>
      <c r="K62" s="242"/>
    </row>
    <row r="63" spans="1:15" ht="13.5" thickBot="1">
      <c r="A63" s="183"/>
      <c r="B63" s="252" t="s">
        <v>36</v>
      </c>
      <c r="C63" s="252"/>
      <c r="D63" s="253"/>
      <c r="E63" s="253"/>
      <c r="F63" s="234"/>
      <c r="G63" s="235"/>
      <c r="H63" s="254"/>
      <c r="I63" s="236"/>
      <c r="J63" s="189">
        <f>SUM(J55:J61)</f>
        <v>0</v>
      </c>
      <c r="K63" s="242"/>
    </row>
    <row r="64" spans="1:15" ht="13.5" thickTop="1">
      <c r="A64" s="190"/>
      <c r="B64" s="255"/>
      <c r="C64" s="255"/>
      <c r="D64" s="256"/>
      <c r="E64" s="256"/>
      <c r="F64" s="166"/>
      <c r="G64" s="167"/>
      <c r="H64" s="168"/>
      <c r="I64" s="169"/>
      <c r="J64" s="194"/>
      <c r="K64" s="242"/>
    </row>
    <row r="65" spans="1:18">
      <c r="A65" s="190"/>
      <c r="B65" s="255"/>
      <c r="C65" s="255"/>
      <c r="D65" s="256"/>
      <c r="E65" s="256"/>
      <c r="F65" s="166"/>
      <c r="G65" s="167"/>
      <c r="H65" s="168"/>
      <c r="I65" s="169"/>
      <c r="J65" s="194"/>
      <c r="K65" s="242"/>
    </row>
    <row r="66" spans="1:18">
      <c r="A66" s="190"/>
      <c r="B66" s="255"/>
      <c r="C66" s="255"/>
      <c r="D66" s="256"/>
      <c r="E66" s="256"/>
      <c r="F66" s="166"/>
      <c r="G66" s="167"/>
      <c r="H66" s="150"/>
      <c r="I66" s="163"/>
      <c r="J66" s="198"/>
      <c r="K66" s="242"/>
    </row>
    <row r="67" spans="1:18">
      <c r="A67" s="190"/>
      <c r="B67" s="255"/>
      <c r="C67" s="255"/>
      <c r="D67" s="256"/>
      <c r="E67" s="256"/>
      <c r="F67" s="166"/>
      <c r="G67" s="167"/>
      <c r="H67" s="150"/>
      <c r="I67" s="163"/>
      <c r="J67" s="198"/>
      <c r="K67" s="242"/>
    </row>
    <row r="68" spans="1:18">
      <c r="A68" s="190"/>
      <c r="B68" s="255"/>
      <c r="C68" s="255"/>
      <c r="D68" s="256"/>
      <c r="E68" s="256"/>
      <c r="F68" s="166"/>
      <c r="G68" s="167"/>
      <c r="H68" s="150"/>
      <c r="I68" s="163"/>
      <c r="J68" s="198"/>
      <c r="K68" s="242"/>
    </row>
    <row r="69" spans="1:18">
      <c r="A69" s="190"/>
      <c r="B69" s="255"/>
      <c r="C69" s="255"/>
      <c r="D69" s="256"/>
      <c r="E69" s="256"/>
      <c r="F69" s="166"/>
      <c r="G69" s="167"/>
      <c r="H69" s="150"/>
      <c r="I69" s="163"/>
      <c r="J69" s="198"/>
      <c r="K69" s="242"/>
    </row>
    <row r="70" spans="1:18">
      <c r="A70" s="190"/>
      <c r="B70" s="255"/>
      <c r="C70" s="255"/>
      <c r="D70" s="256"/>
      <c r="E70" s="256"/>
      <c r="F70" s="166"/>
      <c r="G70" s="167"/>
      <c r="H70" s="150"/>
      <c r="I70" s="163"/>
      <c r="J70" s="198"/>
      <c r="K70" s="242"/>
    </row>
    <row r="71" spans="1:18">
      <c r="A71" s="190"/>
      <c r="B71" s="255"/>
      <c r="C71" s="255"/>
      <c r="D71" s="256"/>
      <c r="E71" s="256"/>
      <c r="F71" s="166"/>
      <c r="G71" s="167"/>
      <c r="H71" s="150"/>
      <c r="I71" s="163"/>
      <c r="J71" s="198"/>
      <c r="K71" s="242"/>
    </row>
    <row r="72" spans="1:18">
      <c r="A72" s="190"/>
      <c r="B72" s="255"/>
      <c r="C72" s="255"/>
      <c r="D72" s="256"/>
      <c r="E72" s="256"/>
      <c r="F72" s="166"/>
      <c r="G72" s="167"/>
      <c r="H72" s="150"/>
      <c r="I72" s="163"/>
      <c r="J72" s="198"/>
      <c r="K72" s="242"/>
    </row>
    <row r="73" spans="1:18">
      <c r="A73" s="172"/>
      <c r="B73" s="258"/>
      <c r="C73" s="258"/>
      <c r="D73" s="257"/>
      <c r="E73" s="257"/>
      <c r="F73" s="170"/>
      <c r="G73" s="171"/>
      <c r="H73" s="150"/>
      <c r="I73" s="163"/>
      <c r="J73" s="198"/>
      <c r="K73" s="242"/>
    </row>
    <row r="74" spans="1:18">
      <c r="B74" s="242"/>
      <c r="C74" s="242"/>
      <c r="D74" s="242"/>
      <c r="E74" s="242"/>
      <c r="F74" s="206"/>
      <c r="G74" s="242"/>
      <c r="H74" s="260"/>
      <c r="I74" s="261"/>
      <c r="J74" s="262"/>
      <c r="K74" s="242"/>
    </row>
    <row r="75" spans="1:18">
      <c r="B75" s="242"/>
      <c r="C75" s="242"/>
      <c r="D75" s="242"/>
      <c r="E75" s="242"/>
      <c r="F75" s="206"/>
      <c r="G75" s="242"/>
      <c r="H75" s="260"/>
      <c r="I75" s="261"/>
      <c r="J75" s="262"/>
      <c r="K75" s="242"/>
    </row>
    <row r="76" spans="1:18">
      <c r="B76" s="242"/>
      <c r="C76" s="242"/>
      <c r="D76" s="242"/>
      <c r="E76" s="242"/>
      <c r="F76" s="206"/>
      <c r="G76" s="242"/>
      <c r="H76" s="260"/>
      <c r="I76" s="261"/>
      <c r="J76" s="262"/>
      <c r="K76" s="242"/>
    </row>
    <row r="77" spans="1:18">
      <c r="B77" s="242"/>
      <c r="C77" s="242"/>
      <c r="D77" s="242"/>
      <c r="E77" s="242"/>
      <c r="F77" s="206"/>
      <c r="G77" s="242"/>
      <c r="H77" s="260"/>
      <c r="I77" s="261"/>
      <c r="J77" s="262"/>
      <c r="K77" s="242"/>
    </row>
    <row r="78" spans="1:18">
      <c r="B78" s="242"/>
      <c r="C78" s="242"/>
      <c r="D78" s="242"/>
      <c r="E78" s="242"/>
      <c r="F78" s="206"/>
      <c r="G78" s="242"/>
      <c r="H78" s="260"/>
      <c r="I78" s="261"/>
      <c r="J78" s="262"/>
      <c r="K78" s="242"/>
      <c r="Q78" s="259"/>
      <c r="R78" s="259"/>
    </row>
    <row r="79" spans="1:18">
      <c r="B79" s="242"/>
      <c r="C79" s="242"/>
      <c r="D79" s="242"/>
      <c r="E79" s="242"/>
      <c r="F79" s="206"/>
      <c r="G79" s="242"/>
      <c r="H79" s="260"/>
      <c r="I79" s="261"/>
      <c r="J79" s="262"/>
      <c r="K79" s="242"/>
      <c r="Q79" s="259"/>
      <c r="R79" s="259"/>
    </row>
    <row r="80" spans="1:18">
      <c r="B80" s="242"/>
      <c r="C80" s="242"/>
      <c r="D80" s="242"/>
      <c r="E80" s="242"/>
      <c r="F80" s="206"/>
      <c r="G80" s="242"/>
      <c r="H80" s="260"/>
      <c r="I80" s="261"/>
      <c r="J80" s="262"/>
      <c r="K80" s="242"/>
      <c r="Q80" s="259"/>
      <c r="R80" s="259"/>
    </row>
    <row r="81" spans="2:18">
      <c r="B81" s="242"/>
      <c r="C81" s="242"/>
      <c r="D81" s="242"/>
      <c r="E81" s="242"/>
      <c r="F81" s="206"/>
      <c r="G81" s="242"/>
      <c r="H81" s="260"/>
      <c r="I81" s="261"/>
      <c r="J81" s="262"/>
      <c r="K81" s="242"/>
      <c r="Q81" s="259"/>
      <c r="R81" s="259"/>
    </row>
    <row r="82" spans="2:18">
      <c r="B82" s="242"/>
      <c r="C82" s="242"/>
      <c r="D82" s="242"/>
      <c r="E82" s="242"/>
      <c r="F82" s="206"/>
      <c r="G82" s="242"/>
      <c r="H82" s="260"/>
      <c r="I82" s="261"/>
      <c r="J82" s="262"/>
      <c r="K82" s="242"/>
      <c r="Q82" s="259"/>
      <c r="R82" s="259"/>
    </row>
    <row r="83" spans="2:18">
      <c r="B83" s="242"/>
      <c r="C83" s="242"/>
      <c r="D83" s="242"/>
      <c r="E83" s="242"/>
      <c r="F83" s="206"/>
      <c r="G83" s="242"/>
      <c r="H83" s="260"/>
      <c r="I83" s="261"/>
      <c r="J83" s="262"/>
      <c r="K83" s="242"/>
      <c r="Q83" s="259"/>
      <c r="R83" s="259"/>
    </row>
    <row r="84" spans="2:18">
      <c r="B84" s="242"/>
      <c r="C84" s="242"/>
      <c r="D84" s="242"/>
      <c r="E84" s="242"/>
      <c r="F84" s="206"/>
      <c r="G84" s="242"/>
      <c r="H84" s="260"/>
      <c r="I84" s="261"/>
      <c r="J84" s="262"/>
      <c r="K84" s="242"/>
      <c r="Q84" s="259"/>
      <c r="R84" s="259"/>
    </row>
    <row r="85" spans="2:18">
      <c r="B85" s="242"/>
      <c r="C85" s="242"/>
      <c r="D85" s="242"/>
      <c r="E85" s="242"/>
      <c r="F85" s="206"/>
      <c r="G85" s="242"/>
      <c r="H85" s="260"/>
      <c r="I85" s="261"/>
      <c r="J85" s="262"/>
      <c r="K85" s="242"/>
      <c r="Q85" s="259"/>
      <c r="R85" s="259"/>
    </row>
    <row r="86" spans="2:18">
      <c r="B86" s="242"/>
      <c r="C86" s="242"/>
      <c r="D86" s="242"/>
      <c r="E86" s="242"/>
      <c r="F86" s="206"/>
      <c r="G86" s="242"/>
      <c r="H86" s="260"/>
      <c r="I86" s="261"/>
      <c r="J86" s="262"/>
      <c r="K86" s="242"/>
      <c r="Q86" s="259"/>
      <c r="R86" s="259"/>
    </row>
    <row r="87" spans="2:18">
      <c r="B87" s="242"/>
      <c r="C87" s="242"/>
      <c r="D87" s="242"/>
      <c r="E87" s="242"/>
      <c r="F87" s="206"/>
      <c r="G87" s="242"/>
      <c r="H87" s="260"/>
      <c r="I87" s="261"/>
      <c r="J87" s="262"/>
      <c r="K87" s="242"/>
      <c r="Q87" s="259"/>
      <c r="R87" s="259"/>
    </row>
    <row r="88" spans="2:18">
      <c r="B88" s="242"/>
      <c r="C88" s="242"/>
      <c r="D88" s="242"/>
      <c r="E88" s="242"/>
      <c r="F88" s="206"/>
      <c r="G88" s="242"/>
      <c r="H88" s="260"/>
      <c r="I88" s="261"/>
      <c r="J88" s="262"/>
      <c r="K88" s="263"/>
      <c r="L88" s="263"/>
      <c r="M88" s="264"/>
      <c r="Q88" s="259"/>
      <c r="R88" s="259"/>
    </row>
    <row r="89" spans="2:18">
      <c r="B89" s="242"/>
      <c r="C89" s="242"/>
      <c r="D89" s="242"/>
      <c r="E89" s="242"/>
      <c r="F89" s="206"/>
      <c r="G89" s="242"/>
      <c r="H89" s="260"/>
      <c r="I89" s="261"/>
      <c r="J89" s="262"/>
      <c r="K89" s="265"/>
      <c r="L89" s="265"/>
      <c r="M89" s="264"/>
    </row>
    <row r="90" spans="2:18">
      <c r="B90" s="242"/>
      <c r="C90" s="242"/>
      <c r="D90" s="242"/>
      <c r="E90" s="242"/>
      <c r="F90" s="206"/>
      <c r="G90" s="242"/>
      <c r="H90" s="260"/>
      <c r="I90" s="261"/>
      <c r="J90" s="262"/>
      <c r="K90" s="261"/>
      <c r="L90" s="261"/>
      <c r="M90" s="264"/>
    </row>
    <row r="91" spans="2:18">
      <c r="B91" s="242"/>
      <c r="C91" s="242"/>
      <c r="D91" s="242"/>
      <c r="E91" s="242"/>
      <c r="F91" s="206"/>
      <c r="G91" s="242"/>
      <c r="H91" s="260"/>
      <c r="I91" s="261"/>
      <c r="J91" s="262"/>
      <c r="K91" s="242"/>
    </row>
    <row r="92" spans="2:18">
      <c r="B92" s="242"/>
      <c r="C92" s="242"/>
      <c r="D92" s="242"/>
      <c r="E92" s="242"/>
      <c r="F92" s="206"/>
      <c r="G92" s="242"/>
      <c r="H92" s="260"/>
      <c r="I92" s="261"/>
      <c r="J92" s="262"/>
      <c r="K92" s="242"/>
    </row>
    <row r="93" spans="2:18">
      <c r="B93" s="242"/>
      <c r="C93" s="242"/>
      <c r="D93" s="242"/>
      <c r="E93" s="242"/>
      <c r="F93" s="206"/>
      <c r="G93" s="242"/>
      <c r="H93" s="260"/>
      <c r="I93" s="261"/>
      <c r="J93" s="262"/>
      <c r="K93" s="242"/>
    </row>
    <row r="94" spans="2:18">
      <c r="B94" s="242"/>
      <c r="C94" s="242"/>
      <c r="D94" s="242"/>
      <c r="E94" s="242"/>
      <c r="F94" s="206"/>
      <c r="G94" s="242"/>
      <c r="H94" s="260"/>
      <c r="I94" s="261"/>
      <c r="J94" s="262"/>
      <c r="K94" s="242"/>
    </row>
    <row r="95" spans="2:18">
      <c r="B95" s="242"/>
      <c r="C95" s="242"/>
      <c r="D95" s="242"/>
      <c r="E95" s="242"/>
      <c r="F95" s="206"/>
      <c r="G95" s="242"/>
      <c r="H95" s="260"/>
      <c r="I95" s="261"/>
      <c r="J95" s="262"/>
      <c r="K95" s="242"/>
    </row>
    <row r="96" spans="2:18">
      <c r="B96" s="242"/>
      <c r="C96" s="242"/>
      <c r="D96" s="242"/>
      <c r="E96" s="242"/>
      <c r="F96" s="206"/>
      <c r="G96" s="242"/>
      <c r="H96" s="260"/>
      <c r="I96" s="261"/>
      <c r="J96" s="262"/>
      <c r="K96" s="242"/>
    </row>
    <row r="97" spans="2:11">
      <c r="B97" s="242"/>
      <c r="C97" s="242"/>
      <c r="D97" s="242"/>
      <c r="E97" s="242"/>
      <c r="F97" s="206"/>
      <c r="G97" s="242"/>
      <c r="H97" s="260"/>
      <c r="I97" s="261"/>
      <c r="J97" s="262"/>
      <c r="K97" s="242"/>
    </row>
    <row r="98" spans="2:11">
      <c r="B98" s="242"/>
      <c r="C98" s="242"/>
      <c r="D98" s="242"/>
      <c r="E98" s="242"/>
      <c r="F98" s="206"/>
      <c r="G98" s="242"/>
      <c r="H98" s="260"/>
      <c r="I98" s="261"/>
      <c r="J98" s="262"/>
      <c r="K98" s="242"/>
    </row>
    <row r="99" spans="2:11">
      <c r="B99" s="242"/>
      <c r="C99" s="242"/>
      <c r="D99" s="242"/>
      <c r="E99" s="242"/>
      <c r="F99" s="206"/>
      <c r="G99" s="242"/>
      <c r="H99" s="260"/>
      <c r="I99" s="261"/>
      <c r="J99" s="262"/>
      <c r="K99" s="242"/>
    </row>
    <row r="100" spans="2:11">
      <c r="B100" s="242"/>
      <c r="C100" s="242"/>
      <c r="D100" s="242"/>
      <c r="E100" s="242"/>
      <c r="F100" s="206"/>
      <c r="G100" s="242"/>
      <c r="H100" s="260"/>
      <c r="I100" s="261"/>
      <c r="J100" s="262"/>
      <c r="K100" s="242"/>
    </row>
    <row r="101" spans="2:11">
      <c r="B101" s="242"/>
      <c r="C101" s="242"/>
      <c r="D101" s="242"/>
      <c r="E101" s="242"/>
      <c r="F101" s="206"/>
      <c r="G101" s="242"/>
      <c r="H101" s="260"/>
      <c r="I101" s="261"/>
      <c r="J101" s="262"/>
      <c r="K101" s="242"/>
    </row>
    <row r="102" spans="2:11">
      <c r="B102" s="242"/>
      <c r="C102" s="242"/>
      <c r="D102" s="242"/>
      <c r="E102" s="242"/>
      <c r="F102" s="206"/>
      <c r="G102" s="242"/>
      <c r="H102" s="260"/>
      <c r="I102" s="261"/>
      <c r="J102" s="262"/>
      <c r="K102" s="242"/>
    </row>
    <row r="103" spans="2:11">
      <c r="B103" s="242"/>
      <c r="C103" s="242"/>
      <c r="D103" s="242"/>
      <c r="E103" s="242"/>
      <c r="F103" s="206"/>
      <c r="G103" s="242"/>
      <c r="H103" s="260"/>
      <c r="I103" s="261"/>
      <c r="J103" s="262"/>
      <c r="K103" s="242"/>
    </row>
    <row r="104" spans="2:11">
      <c r="B104" s="242"/>
      <c r="C104" s="242"/>
      <c r="D104" s="242"/>
      <c r="E104" s="242"/>
      <c r="F104" s="206"/>
      <c r="G104" s="242"/>
      <c r="H104" s="260"/>
      <c r="I104" s="261"/>
      <c r="J104" s="262"/>
      <c r="K104" s="242"/>
    </row>
    <row r="105" spans="2:11">
      <c r="B105" s="242"/>
      <c r="C105" s="242"/>
      <c r="D105" s="242"/>
      <c r="E105" s="242"/>
      <c r="F105" s="206"/>
      <c r="G105" s="242"/>
      <c r="H105" s="260"/>
      <c r="I105" s="261"/>
      <c r="J105" s="262"/>
      <c r="K105" s="242"/>
    </row>
    <row r="106" spans="2:11">
      <c r="B106" s="242"/>
      <c r="C106" s="242"/>
      <c r="D106" s="242"/>
      <c r="E106" s="242"/>
      <c r="F106" s="206"/>
      <c r="G106" s="242"/>
      <c r="H106" s="260"/>
      <c r="I106" s="261"/>
      <c r="J106" s="262"/>
      <c r="K106" s="242"/>
    </row>
    <row r="107" spans="2:11">
      <c r="B107" s="242"/>
      <c r="C107" s="242"/>
      <c r="D107" s="242"/>
      <c r="E107" s="242"/>
      <c r="F107" s="206"/>
      <c r="G107" s="242"/>
      <c r="H107" s="260"/>
      <c r="I107" s="261"/>
      <c r="J107" s="262"/>
      <c r="K107" s="242"/>
    </row>
    <row r="108" spans="2:11">
      <c r="B108" s="242"/>
      <c r="C108" s="242"/>
      <c r="D108" s="242"/>
      <c r="E108" s="242"/>
      <c r="F108" s="206"/>
      <c r="G108" s="242"/>
      <c r="H108" s="260"/>
      <c r="I108" s="261"/>
      <c r="J108" s="262"/>
      <c r="K108" s="242"/>
    </row>
    <row r="109" spans="2:11">
      <c r="B109" s="242"/>
      <c r="C109" s="242"/>
      <c r="D109" s="242"/>
      <c r="E109" s="242"/>
      <c r="F109" s="206"/>
      <c r="G109" s="242"/>
      <c r="H109" s="260"/>
      <c r="I109" s="261"/>
      <c r="J109" s="262"/>
      <c r="K109" s="242"/>
    </row>
    <row r="110" spans="2:11">
      <c r="B110" s="242"/>
      <c r="C110" s="242"/>
      <c r="D110" s="242"/>
      <c r="E110" s="242"/>
      <c r="F110" s="206"/>
      <c r="G110" s="242"/>
      <c r="H110" s="260"/>
      <c r="I110" s="261"/>
      <c r="J110" s="262"/>
      <c r="K110" s="242"/>
    </row>
    <row r="111" spans="2:11">
      <c r="B111" s="242"/>
      <c r="C111" s="242"/>
      <c r="D111" s="242"/>
      <c r="E111" s="242"/>
      <c r="F111" s="206"/>
      <c r="G111" s="242"/>
      <c r="H111" s="260"/>
      <c r="I111" s="261"/>
      <c r="J111" s="262"/>
      <c r="K111" s="242"/>
    </row>
    <row r="112" spans="2:11">
      <c r="B112" s="242"/>
      <c r="C112" s="242"/>
      <c r="D112" s="242"/>
      <c r="E112" s="242"/>
      <c r="F112" s="206"/>
      <c r="G112" s="242"/>
      <c r="H112" s="260"/>
      <c r="I112" s="261"/>
      <c r="J112" s="262"/>
      <c r="K112" s="242"/>
    </row>
    <row r="113" spans="4:11">
      <c r="D113" s="242"/>
      <c r="E113" s="242"/>
      <c r="F113" s="206"/>
      <c r="G113" s="242"/>
      <c r="H113" s="260"/>
      <c r="I113" s="261"/>
      <c r="J113" s="262"/>
      <c r="K113" s="242"/>
    </row>
    <row r="114" spans="4:11">
      <c r="D114" s="242"/>
      <c r="E114" s="242"/>
      <c r="F114" s="206"/>
      <c r="G114" s="242"/>
      <c r="H114" s="260"/>
      <c r="I114" s="261"/>
      <c r="J114" s="262"/>
      <c r="K114" s="242"/>
    </row>
    <row r="115" spans="4:11">
      <c r="D115" s="242"/>
      <c r="E115" s="242"/>
      <c r="F115" s="206"/>
      <c r="G115" s="242"/>
      <c r="H115" s="260"/>
      <c r="I115" s="261"/>
      <c r="J115" s="262"/>
      <c r="K115" s="242"/>
    </row>
    <row r="116" spans="4:11">
      <c r="D116" s="242"/>
      <c r="E116" s="242"/>
      <c r="F116" s="206"/>
      <c r="G116" s="242"/>
      <c r="H116" s="260"/>
      <c r="I116" s="261"/>
      <c r="J116" s="262"/>
      <c r="K116" s="242"/>
    </row>
    <row r="117" spans="4:11">
      <c r="D117" s="242"/>
      <c r="E117" s="242"/>
      <c r="F117" s="206"/>
      <c r="G117" s="242"/>
      <c r="H117" s="260"/>
      <c r="I117" s="261"/>
      <c r="J117" s="262"/>
      <c r="K117" s="242"/>
    </row>
    <row r="118" spans="4:11">
      <c r="D118" s="242"/>
      <c r="E118" s="242"/>
      <c r="F118" s="206"/>
      <c r="G118" s="242"/>
      <c r="H118" s="260"/>
      <c r="I118" s="261"/>
      <c r="J118" s="262"/>
      <c r="K118" s="242"/>
    </row>
    <row r="119" spans="4:11">
      <c r="D119" s="242"/>
      <c r="E119" s="242"/>
      <c r="F119" s="206"/>
      <c r="G119" s="242"/>
      <c r="H119" s="260"/>
      <c r="I119" s="261"/>
      <c r="J119" s="262"/>
      <c r="K119" s="242"/>
    </row>
    <row r="120" spans="4:11">
      <c r="D120" s="242"/>
      <c r="E120" s="242"/>
      <c r="F120" s="206"/>
      <c r="G120" s="242"/>
      <c r="H120" s="260"/>
      <c r="I120" s="261"/>
      <c r="J120" s="262"/>
      <c r="K120" s="242"/>
    </row>
    <row r="121" spans="4:11">
      <c r="D121" s="242"/>
      <c r="E121" s="242"/>
      <c r="F121" s="206"/>
      <c r="G121" s="242"/>
      <c r="H121" s="260"/>
      <c r="I121" s="261"/>
      <c r="J121" s="262"/>
      <c r="K121" s="242"/>
    </row>
    <row r="122" spans="4:11">
      <c r="D122" s="242"/>
      <c r="E122" s="242"/>
      <c r="F122" s="206"/>
      <c r="G122" s="242"/>
      <c r="H122" s="260"/>
      <c r="I122" s="261"/>
      <c r="J122" s="262"/>
      <c r="K122" s="242"/>
    </row>
    <row r="123" spans="4:11">
      <c r="D123" s="242"/>
      <c r="E123" s="242"/>
      <c r="F123" s="206"/>
      <c r="G123" s="242"/>
      <c r="H123" s="260"/>
      <c r="I123" s="261"/>
      <c r="J123" s="262"/>
      <c r="K123" s="242"/>
    </row>
    <row r="124" spans="4:11">
      <c r="D124" s="242"/>
      <c r="E124" s="242"/>
      <c r="F124" s="206"/>
      <c r="G124" s="242"/>
      <c r="H124" s="260"/>
      <c r="I124" s="261"/>
      <c r="J124" s="262"/>
      <c r="K124" s="242"/>
    </row>
    <row r="125" spans="4:11">
      <c r="D125" s="242"/>
      <c r="E125" s="242"/>
      <c r="F125" s="206"/>
      <c r="G125" s="242"/>
      <c r="H125" s="260"/>
      <c r="I125" s="261"/>
      <c r="J125" s="262"/>
      <c r="K125" s="242"/>
    </row>
    <row r="126" spans="4:11">
      <c r="D126" s="242"/>
      <c r="E126" s="242"/>
      <c r="F126" s="206"/>
      <c r="G126" s="242"/>
      <c r="H126" s="260"/>
      <c r="I126" s="261"/>
      <c r="J126" s="262"/>
      <c r="K126" s="242"/>
    </row>
    <row r="127" spans="4:11">
      <c r="D127" s="242"/>
      <c r="E127" s="242"/>
      <c r="F127" s="206"/>
      <c r="G127" s="242"/>
      <c r="H127" s="260"/>
      <c r="I127" s="261"/>
      <c r="J127" s="262"/>
      <c r="K127" s="242"/>
    </row>
    <row r="128" spans="4:11">
      <c r="D128" s="242"/>
      <c r="E128" s="242"/>
      <c r="F128" s="206"/>
      <c r="G128" s="242"/>
      <c r="H128" s="260"/>
      <c r="I128" s="261"/>
      <c r="J128" s="262"/>
      <c r="K128" s="242"/>
    </row>
    <row r="129" spans="4:11">
      <c r="D129" s="242"/>
      <c r="E129" s="242"/>
      <c r="F129" s="206"/>
      <c r="G129" s="242"/>
      <c r="H129" s="260"/>
      <c r="I129" s="261"/>
      <c r="J129" s="262"/>
      <c r="K129" s="242"/>
    </row>
    <row r="130" spans="4:11">
      <c r="D130" s="242"/>
      <c r="E130" s="242"/>
      <c r="F130" s="206"/>
      <c r="G130" s="242"/>
      <c r="H130" s="260"/>
      <c r="I130" s="261"/>
      <c r="J130" s="262"/>
    </row>
    <row r="131" spans="4:11">
      <c r="D131" s="242"/>
      <c r="E131" s="242"/>
      <c r="F131" s="206"/>
      <c r="G131" s="242"/>
      <c r="H131" s="260"/>
      <c r="I131" s="261"/>
      <c r="J131" s="262"/>
    </row>
    <row r="132" spans="4:11">
      <c r="D132" s="242"/>
      <c r="E132" s="242"/>
      <c r="F132" s="206"/>
      <c r="G132" s="242"/>
      <c r="H132" s="260"/>
      <c r="I132" s="261"/>
      <c r="J132" s="262"/>
    </row>
    <row r="133" spans="4:11">
      <c r="D133" s="242"/>
      <c r="E133" s="242"/>
      <c r="F133" s="206"/>
      <c r="G133" s="242"/>
      <c r="H133" s="260"/>
      <c r="I133" s="261"/>
      <c r="J133" s="262"/>
    </row>
    <row r="134" spans="4:11">
      <c r="D134" s="242"/>
      <c r="E134" s="242"/>
      <c r="F134" s="206"/>
      <c r="G134" s="242"/>
      <c r="H134" s="260"/>
      <c r="I134" s="261"/>
      <c r="J134" s="262"/>
    </row>
    <row r="135" spans="4:11">
      <c r="D135" s="242"/>
      <c r="E135" s="242"/>
      <c r="F135" s="206"/>
      <c r="G135" s="242"/>
      <c r="H135" s="260"/>
      <c r="I135" s="261"/>
      <c r="J135" s="262"/>
    </row>
    <row r="136" spans="4:11">
      <c r="D136" s="242"/>
      <c r="E136" s="242"/>
      <c r="F136" s="206"/>
      <c r="G136" s="242"/>
      <c r="H136" s="260"/>
      <c r="I136" s="261"/>
      <c r="J136" s="262"/>
    </row>
    <row r="137" spans="4:11">
      <c r="D137" s="242"/>
      <c r="E137" s="242"/>
      <c r="F137" s="206"/>
      <c r="G137" s="242"/>
      <c r="H137" s="260"/>
      <c r="I137" s="266"/>
      <c r="J137" s="262"/>
    </row>
    <row r="138" spans="4:11">
      <c r="D138" s="242"/>
      <c r="E138" s="242"/>
      <c r="F138" s="206"/>
      <c r="G138" s="242"/>
      <c r="H138" s="260"/>
      <c r="I138" s="266"/>
      <c r="J138" s="262"/>
    </row>
    <row r="139" spans="4:11">
      <c r="D139" s="242"/>
      <c r="E139" s="242"/>
      <c r="F139" s="206"/>
      <c r="G139" s="242"/>
      <c r="H139" s="260"/>
      <c r="I139" s="266"/>
      <c r="J139" s="262"/>
    </row>
    <row r="140" spans="4:11">
      <c r="D140" s="242"/>
      <c r="E140" s="242"/>
      <c r="F140" s="206"/>
      <c r="G140" s="242"/>
      <c r="H140" s="260"/>
      <c r="I140" s="266"/>
      <c r="J140" s="262"/>
    </row>
    <row r="141" spans="4:11">
      <c r="D141" s="242"/>
      <c r="E141" s="242"/>
      <c r="F141" s="206"/>
      <c r="G141" s="242"/>
      <c r="H141" s="260"/>
      <c r="I141" s="266"/>
      <c r="J141" s="262"/>
    </row>
    <row r="142" spans="4:11">
      <c r="D142" s="242"/>
      <c r="E142" s="242"/>
      <c r="F142" s="206"/>
      <c r="G142" s="242"/>
      <c r="H142" s="260"/>
      <c r="I142" s="266"/>
      <c r="J142" s="262"/>
    </row>
    <row r="143" spans="4:11">
      <c r="D143" s="242"/>
      <c r="E143" s="242"/>
      <c r="F143" s="206"/>
      <c r="G143" s="242"/>
      <c r="H143" s="260"/>
      <c r="I143" s="266"/>
      <c r="J143" s="262"/>
    </row>
    <row r="144" spans="4:11">
      <c r="D144" s="242"/>
      <c r="E144" s="242"/>
      <c r="F144" s="206"/>
      <c r="G144" s="242"/>
      <c r="H144" s="260"/>
      <c r="I144" s="266"/>
      <c r="J144" s="262"/>
    </row>
    <row r="145" spans="4:10">
      <c r="D145" s="242"/>
      <c r="E145" s="242"/>
      <c r="F145" s="206"/>
      <c r="G145" s="242"/>
      <c r="H145" s="260"/>
      <c r="I145" s="266"/>
      <c r="J145" s="262"/>
    </row>
    <row r="146" spans="4:10">
      <c r="D146" s="242"/>
      <c r="E146" s="242"/>
      <c r="F146" s="206"/>
      <c r="G146" s="242"/>
      <c r="H146" s="260"/>
      <c r="I146" s="266"/>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06"/>
    </row>
    <row r="183" spans="4:10">
      <c r="D183" s="242"/>
      <c r="E183" s="242"/>
      <c r="F183" s="206"/>
      <c r="G183" s="242"/>
      <c r="H183" s="260"/>
      <c r="I183" s="266"/>
      <c r="J183" s="206"/>
    </row>
    <row r="184" spans="4:10">
      <c r="D184" s="242"/>
      <c r="E184" s="242"/>
      <c r="F184" s="206"/>
      <c r="G184" s="242"/>
      <c r="H184" s="260"/>
      <c r="I184" s="266"/>
      <c r="J184" s="206"/>
    </row>
    <row r="185" spans="4:10">
      <c r="D185" s="242"/>
      <c r="E185" s="242"/>
      <c r="F185" s="206"/>
      <c r="G185" s="242"/>
      <c r="H185" s="260"/>
      <c r="I185" s="266"/>
      <c r="J185" s="206"/>
    </row>
    <row r="186" spans="4:10">
      <c r="D186" s="242"/>
      <c r="E186" s="242"/>
      <c r="F186" s="206"/>
      <c r="G186" s="242"/>
      <c r="H186" s="260"/>
      <c r="I186" s="266"/>
      <c r="J186" s="206"/>
    </row>
    <row r="187" spans="4:10">
      <c r="D187" s="242"/>
      <c r="E187" s="242"/>
      <c r="F187" s="206"/>
      <c r="G187" s="242"/>
      <c r="H187" s="260"/>
      <c r="I187" s="266"/>
      <c r="J187" s="206"/>
    </row>
    <row r="188" spans="4:10">
      <c r="D188" s="242"/>
      <c r="E188" s="242"/>
      <c r="F188" s="206"/>
      <c r="G188" s="242"/>
      <c r="H188" s="260"/>
      <c r="I188" s="266"/>
      <c r="J188" s="206"/>
    </row>
    <row r="189" spans="4:10">
      <c r="D189" s="242"/>
      <c r="E189" s="242"/>
      <c r="F189" s="206"/>
      <c r="G189" s="242"/>
      <c r="H189" s="260"/>
      <c r="I189" s="266"/>
      <c r="J189" s="206"/>
    </row>
    <row r="190" spans="4:10">
      <c r="D190" s="242"/>
      <c r="E190" s="242"/>
      <c r="F190" s="206"/>
      <c r="G190" s="242"/>
      <c r="H190" s="260"/>
      <c r="I190" s="266"/>
      <c r="J190" s="206"/>
    </row>
    <row r="191" spans="4:10">
      <c r="D191" s="242"/>
      <c r="E191" s="242"/>
      <c r="F191" s="206"/>
      <c r="G191" s="242"/>
      <c r="H191" s="260"/>
      <c r="I191" s="266"/>
      <c r="J191" s="206"/>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06"/>
      <c r="I252" s="266"/>
      <c r="J252" s="206"/>
    </row>
    <row r="253" spans="4:10">
      <c r="D253" s="242"/>
      <c r="E253" s="242"/>
      <c r="F253" s="206"/>
      <c r="G253" s="242"/>
      <c r="H253" s="206"/>
      <c r="I253" s="266"/>
      <c r="J253" s="206"/>
    </row>
    <row r="254" spans="4:10">
      <c r="D254" s="242"/>
      <c r="E254" s="242"/>
      <c r="F254" s="206"/>
      <c r="G254" s="242"/>
      <c r="H254" s="206"/>
      <c r="I254" s="266"/>
      <c r="J254" s="206"/>
    </row>
    <row r="255" spans="4:10">
      <c r="D255" s="242"/>
      <c r="E255" s="242"/>
      <c r="F255" s="206"/>
      <c r="G255" s="242"/>
      <c r="H255" s="206"/>
      <c r="I255" s="266"/>
      <c r="J255" s="206"/>
    </row>
    <row r="256" spans="4:10">
      <c r="D256" s="242"/>
      <c r="E256" s="242"/>
      <c r="F256" s="206"/>
      <c r="G256" s="242"/>
      <c r="H256" s="206"/>
      <c r="I256" s="266"/>
      <c r="J256" s="206"/>
    </row>
    <row r="257" spans="4:10">
      <c r="D257" s="242"/>
      <c r="E257" s="242"/>
      <c r="F257" s="206"/>
      <c r="G257" s="242"/>
      <c r="H257" s="206"/>
      <c r="I257" s="266"/>
      <c r="J257" s="206"/>
    </row>
    <row r="258" spans="4:10">
      <c r="D258" s="242"/>
      <c r="E258" s="242"/>
      <c r="F258" s="206"/>
      <c r="G258" s="242"/>
      <c r="H258" s="206"/>
      <c r="I258" s="266"/>
      <c r="J258" s="206"/>
    </row>
    <row r="259" spans="4:10">
      <c r="D259" s="242"/>
      <c r="E259" s="242"/>
      <c r="F259" s="206"/>
      <c r="G259" s="242"/>
      <c r="H259" s="206"/>
      <c r="I259" s="266"/>
      <c r="J259" s="206"/>
    </row>
    <row r="260" spans="4:10">
      <c r="D260" s="242"/>
      <c r="E260" s="242"/>
      <c r="F260" s="206"/>
      <c r="G260" s="242"/>
      <c r="H260" s="206"/>
      <c r="I260" s="266"/>
      <c r="J260" s="206"/>
    </row>
    <row r="261" spans="4:10">
      <c r="D261" s="242"/>
      <c r="E261" s="242"/>
      <c r="F261" s="206"/>
      <c r="G261" s="242"/>
      <c r="H261" s="206"/>
      <c r="I261" s="266"/>
      <c r="J261" s="206"/>
    </row>
    <row r="262" spans="4:10">
      <c r="D262" s="242"/>
      <c r="E262" s="242"/>
      <c r="F262" s="206"/>
      <c r="G262" s="242"/>
      <c r="H262" s="206"/>
      <c r="I262" s="266"/>
      <c r="J262" s="206"/>
    </row>
    <row r="263" spans="4:10">
      <c r="D263" s="242"/>
      <c r="E263" s="242"/>
      <c r="F263" s="206"/>
      <c r="G263" s="242"/>
      <c r="H263" s="206"/>
      <c r="I263" s="266"/>
      <c r="J263" s="206"/>
    </row>
    <row r="264" spans="4:10">
      <c r="D264" s="242"/>
      <c r="E264" s="242"/>
      <c r="F264" s="206"/>
      <c r="G264" s="242"/>
      <c r="H264" s="206"/>
      <c r="I264" s="266"/>
      <c r="J264" s="206"/>
    </row>
    <row r="265" spans="4:10">
      <c r="D265" s="242"/>
      <c r="E265" s="242"/>
      <c r="F265" s="206"/>
      <c r="G265" s="242"/>
      <c r="H265" s="206"/>
      <c r="I265" s="266"/>
      <c r="J265" s="206"/>
    </row>
    <row r="266" spans="4:10">
      <c r="D266" s="242"/>
      <c r="E266" s="242"/>
      <c r="F266" s="206"/>
      <c r="G266" s="242"/>
      <c r="H266" s="206"/>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D272" s="242"/>
      <c r="E272" s="242"/>
      <c r="F272" s="206"/>
      <c r="G272" s="242"/>
      <c r="H272" s="206"/>
      <c r="I272" s="266"/>
      <c r="J272" s="206"/>
    </row>
    <row r="273" spans="4:10">
      <c r="D273" s="242"/>
      <c r="E273" s="242"/>
      <c r="F273" s="206"/>
      <c r="G273" s="242"/>
      <c r="H273" s="206"/>
      <c r="I273" s="266"/>
      <c r="J273" s="206"/>
    </row>
    <row r="274" spans="4:10">
      <c r="D274" s="242"/>
      <c r="E274" s="242"/>
      <c r="F274" s="206"/>
      <c r="G274" s="242"/>
      <c r="H274" s="206"/>
      <c r="I274" s="266"/>
      <c r="J274" s="206"/>
    </row>
    <row r="275" spans="4:10">
      <c r="D275" s="242"/>
      <c r="E275" s="242"/>
      <c r="F275" s="206"/>
      <c r="G275" s="242"/>
      <c r="H275" s="206"/>
      <c r="I275" s="266"/>
      <c r="J275" s="206"/>
    </row>
    <row r="276" spans="4:10">
      <c r="I276" s="267"/>
    </row>
    <row r="277" spans="4:10">
      <c r="I277" s="267"/>
    </row>
    <row r="278" spans="4:10">
      <c r="I278" s="267"/>
    </row>
    <row r="279" spans="4:10">
      <c r="I279" s="267"/>
    </row>
    <row r="280" spans="4:10">
      <c r="I280" s="267"/>
    </row>
    <row r="281" spans="4:10">
      <c r="I281" s="267"/>
    </row>
    <row r="282" spans="4:10">
      <c r="I282" s="267"/>
    </row>
    <row r="283" spans="4:10">
      <c r="I283" s="267"/>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287"/>
  <sheetViews>
    <sheetView view="pageBreakPreview" topLeftCell="A46" zoomScale="130" zoomScaleSheetLayoutView="130" workbookViewId="0">
      <selection activeCell="H66" sqref="H66"/>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41</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Q19</f>
        <v>28.71</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f>R13+R14</f>
        <v>2</v>
      </c>
      <c r="G11" s="167"/>
      <c r="H11" s="176"/>
      <c r="I11" s="163"/>
      <c r="J11" s="176">
        <f>F11*H11</f>
        <v>0</v>
      </c>
      <c r="K11" s="136"/>
      <c r="L11" s="136" t="s">
        <v>457</v>
      </c>
      <c r="N11">
        <v>0</v>
      </c>
      <c r="O11">
        <v>4.63</v>
      </c>
      <c r="P11">
        <v>0</v>
      </c>
      <c r="Q11">
        <v>123.67</v>
      </c>
      <c r="R11">
        <v>115.63</v>
      </c>
      <c r="S11">
        <v>8.0500000000000007</v>
      </c>
      <c r="T11">
        <v>0</v>
      </c>
      <c r="U11">
        <v>0</v>
      </c>
      <c r="V11">
        <v>0</v>
      </c>
      <c r="W11">
        <v>122.26</v>
      </c>
      <c r="X11">
        <v>87.77</v>
      </c>
      <c r="Y11">
        <v>17.7</v>
      </c>
      <c r="Z11">
        <v>13.83</v>
      </c>
      <c r="AA11">
        <v>2.96</v>
      </c>
      <c r="AB11">
        <v>87.77</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1</v>
      </c>
      <c r="G13" s="167"/>
      <c r="H13" s="176"/>
      <c r="I13" s="182"/>
      <c r="J13" s="176">
        <f>F13*H13</f>
        <v>0</v>
      </c>
      <c r="K13" s="136"/>
      <c r="L13" s="136" t="s">
        <v>179</v>
      </c>
      <c r="M13" t="s">
        <v>389</v>
      </c>
      <c r="N13">
        <v>1</v>
      </c>
      <c r="O13" t="s">
        <v>390</v>
      </c>
      <c r="P13" t="s">
        <v>391</v>
      </c>
      <c r="Q13">
        <v>1000</v>
      </c>
      <c r="R13">
        <v>1</v>
      </c>
    </row>
    <row r="14" spans="1:28" ht="14.25">
      <c r="A14" s="172"/>
      <c r="B14" s="173"/>
      <c r="C14" s="173"/>
      <c r="D14" s="165"/>
      <c r="E14" s="165"/>
      <c r="F14" s="166"/>
      <c r="G14" s="167"/>
      <c r="H14" s="168"/>
      <c r="I14" s="182"/>
      <c r="J14" s="168"/>
      <c r="K14" s="136"/>
      <c r="L14" s="136" t="s">
        <v>177</v>
      </c>
      <c r="M14" t="s">
        <v>389</v>
      </c>
      <c r="N14">
        <v>11</v>
      </c>
      <c r="O14" t="s">
        <v>392</v>
      </c>
      <c r="P14" t="s">
        <v>391</v>
      </c>
      <c r="Q14">
        <v>1000</v>
      </c>
      <c r="R14">
        <v>1</v>
      </c>
    </row>
    <row r="15" spans="1:28" ht="14.25">
      <c r="A15" s="172" t="s">
        <v>67</v>
      </c>
      <c r="B15" s="173" t="s">
        <v>74</v>
      </c>
      <c r="C15" s="173"/>
      <c r="D15" s="174" t="s">
        <v>190</v>
      </c>
      <c r="E15" s="165"/>
      <c r="F15" s="175">
        <v>1</v>
      </c>
      <c r="G15" s="167"/>
      <c r="H15" s="176"/>
      <c r="I15" s="182"/>
      <c r="J15" s="176">
        <f>F15*H15</f>
        <v>0</v>
      </c>
      <c r="K15" s="136"/>
      <c r="L15" s="136"/>
    </row>
    <row r="16" spans="1:28" ht="14.25">
      <c r="A16" s="172"/>
      <c r="B16" s="173"/>
      <c r="C16" s="173"/>
      <c r="D16" s="165"/>
      <c r="E16" s="165"/>
      <c r="F16" s="166"/>
      <c r="G16" s="167"/>
      <c r="H16" s="168"/>
      <c r="I16" s="182"/>
      <c r="J16" s="168"/>
      <c r="K16" s="136"/>
      <c r="L16" s="136"/>
    </row>
    <row r="17" spans="1:17" ht="15" thickBot="1">
      <c r="A17" s="183"/>
      <c r="B17" s="184" t="s">
        <v>75</v>
      </c>
      <c r="C17" s="184"/>
      <c r="D17" s="185"/>
      <c r="E17" s="185"/>
      <c r="F17" s="186"/>
      <c r="G17" s="185"/>
      <c r="H17" s="187"/>
      <c r="I17" s="188"/>
      <c r="J17" s="189">
        <f>SUM(J9:J15)</f>
        <v>0</v>
      </c>
      <c r="K17" s="136"/>
      <c r="L17" s="136"/>
    </row>
    <row r="18" spans="1:17" ht="15" thickTop="1">
      <c r="A18" s="190"/>
      <c r="B18" s="191"/>
      <c r="C18" s="191"/>
      <c r="D18" s="192"/>
      <c r="E18" s="192"/>
      <c r="F18" s="165"/>
      <c r="G18" s="192"/>
      <c r="H18" s="193"/>
      <c r="I18" s="182"/>
      <c r="J18" s="194"/>
      <c r="K18" s="136"/>
      <c r="L18" s="136" t="s">
        <v>221</v>
      </c>
      <c r="N18" t="s">
        <v>239</v>
      </c>
      <c r="P18" t="s">
        <v>238</v>
      </c>
      <c r="Q18" s="450" t="s">
        <v>394</v>
      </c>
    </row>
    <row r="19" spans="1:17" ht="14.25">
      <c r="A19" s="190"/>
      <c r="B19" s="191"/>
      <c r="C19" s="191"/>
      <c r="D19" s="192"/>
      <c r="E19" s="192"/>
      <c r="F19" s="165"/>
      <c r="G19" s="192"/>
      <c r="H19" s="193"/>
      <c r="I19" s="182"/>
      <c r="J19" s="194"/>
      <c r="K19" s="136"/>
      <c r="L19" s="136" t="s">
        <v>240</v>
      </c>
      <c r="N19">
        <v>311.7</v>
      </c>
      <c r="P19">
        <v>235.4</v>
      </c>
      <c r="Q19">
        <v>28.71</v>
      </c>
    </row>
    <row r="20" spans="1:17" ht="15">
      <c r="A20" s="195" t="s">
        <v>61</v>
      </c>
      <c r="B20" s="196" t="s">
        <v>76</v>
      </c>
      <c r="C20" s="196"/>
      <c r="D20" s="160"/>
      <c r="E20" s="160"/>
      <c r="F20" s="170"/>
      <c r="G20" s="171"/>
      <c r="H20" s="197"/>
      <c r="I20" s="180"/>
      <c r="J20" s="198"/>
      <c r="K20" s="136"/>
      <c r="L20" s="136"/>
    </row>
    <row r="21" spans="1:17" ht="15">
      <c r="A21" s="195"/>
      <c r="B21" s="453" t="s">
        <v>452</v>
      </c>
      <c r="C21" s="196"/>
      <c r="D21" s="160"/>
      <c r="E21" s="160"/>
      <c r="F21" s="170"/>
      <c r="G21" s="171"/>
      <c r="H21" s="197"/>
      <c r="I21" s="180"/>
      <c r="J21" s="198"/>
      <c r="K21" s="136"/>
      <c r="L21" s="136"/>
    </row>
    <row r="22" spans="1:17" ht="15">
      <c r="A22" s="195"/>
      <c r="B22" s="196"/>
      <c r="C22" s="196"/>
      <c r="D22" s="160"/>
      <c r="E22" s="160"/>
      <c r="F22" s="170"/>
      <c r="G22" s="171"/>
      <c r="H22" s="197"/>
      <c r="I22" s="180"/>
      <c r="J22" s="198"/>
      <c r="K22" s="136"/>
      <c r="L22" s="136"/>
    </row>
    <row r="23" spans="1:17" ht="51">
      <c r="A23" s="203" t="s">
        <v>61</v>
      </c>
      <c r="B23" s="204" t="s">
        <v>22</v>
      </c>
      <c r="C23" s="205"/>
      <c r="D23" s="206"/>
      <c r="E23" s="206"/>
      <c r="F23" s="207"/>
      <c r="G23" s="208"/>
      <c r="H23" s="209"/>
      <c r="I23" s="180"/>
      <c r="J23" s="194"/>
      <c r="K23" s="136"/>
      <c r="L23" s="136"/>
    </row>
    <row r="24" spans="1:17" ht="15.75">
      <c r="A24" s="210"/>
      <c r="B24" s="205" t="s">
        <v>78</v>
      </c>
      <c r="C24" s="205"/>
      <c r="D24" s="211" t="s">
        <v>108</v>
      </c>
      <c r="E24" s="206"/>
      <c r="F24" s="212">
        <f>F9*1.4*0.95</f>
        <v>38.184299999999993</v>
      </c>
      <c r="G24" s="208"/>
      <c r="H24" s="213"/>
      <c r="I24" s="180"/>
      <c r="J24" s="202">
        <f>F24*H24</f>
        <v>0</v>
      </c>
      <c r="K24" s="136"/>
      <c r="L24" s="136"/>
    </row>
    <row r="25" spans="1:17" ht="14.25">
      <c r="A25" s="203"/>
      <c r="B25" s="205" t="s">
        <v>79</v>
      </c>
      <c r="C25" s="205"/>
      <c r="D25" s="211" t="s">
        <v>108</v>
      </c>
      <c r="E25" s="206"/>
      <c r="F25" s="212">
        <f>F9*1.4*0.05</f>
        <v>2.0097</v>
      </c>
      <c r="G25" s="208"/>
      <c r="H25" s="213"/>
      <c r="I25" s="180"/>
      <c r="J25" s="202">
        <f>F25*H25</f>
        <v>0</v>
      </c>
      <c r="K25" s="136"/>
      <c r="L25" s="136"/>
    </row>
    <row r="26" spans="1:17" ht="14.25">
      <c r="A26" s="203"/>
      <c r="B26" s="173"/>
      <c r="C26" s="205"/>
      <c r="D26" s="214"/>
      <c r="E26" s="206"/>
      <c r="F26" s="207"/>
      <c r="G26" s="208"/>
      <c r="H26" s="215"/>
      <c r="I26" s="180"/>
      <c r="J26" s="194"/>
      <c r="K26" s="199"/>
      <c r="L26" s="199"/>
      <c r="N26" s="200"/>
      <c r="O26" s="200"/>
    </row>
    <row r="27" spans="1:17" ht="25.5">
      <c r="A27" s="203" t="s">
        <v>63</v>
      </c>
      <c r="B27" s="205" t="s">
        <v>21</v>
      </c>
      <c r="C27" s="205"/>
      <c r="D27" s="206"/>
      <c r="E27" s="206"/>
      <c r="F27" s="216"/>
      <c r="G27" s="217"/>
      <c r="H27" s="209"/>
      <c r="I27" s="180"/>
      <c r="J27" s="218"/>
      <c r="K27" s="199"/>
      <c r="L27" s="199"/>
      <c r="N27" s="200"/>
      <c r="O27" s="200"/>
    </row>
    <row r="28" spans="1:17" ht="14.25">
      <c r="A28" s="203"/>
      <c r="B28" s="205"/>
      <c r="C28" s="205"/>
      <c r="D28" s="211" t="s">
        <v>105</v>
      </c>
      <c r="E28" s="206"/>
      <c r="F28" s="220">
        <f>F9*0.8</f>
        <v>22.968000000000004</v>
      </c>
      <c r="G28" s="221"/>
      <c r="H28" s="213"/>
      <c r="I28" s="180"/>
      <c r="J28" s="202">
        <f>F28*H28</f>
        <v>0</v>
      </c>
      <c r="K28" s="199"/>
      <c r="L28" s="199"/>
      <c r="N28" s="200"/>
      <c r="O28" s="200"/>
    </row>
    <row r="29" spans="1:17" ht="14.25">
      <c r="A29" s="172"/>
      <c r="B29" s="173"/>
      <c r="C29" s="173"/>
      <c r="D29" s="165"/>
      <c r="E29" s="160"/>
      <c r="F29" s="222"/>
      <c r="G29" s="223"/>
      <c r="H29" s="215"/>
      <c r="I29" s="180"/>
      <c r="J29" s="194"/>
      <c r="K29" s="199"/>
      <c r="L29" s="199"/>
      <c r="N29" s="200"/>
      <c r="O29" s="200"/>
    </row>
    <row r="30" spans="1:17" ht="51">
      <c r="A30" s="172" t="s">
        <v>67</v>
      </c>
      <c r="B30" s="224" t="s">
        <v>80</v>
      </c>
      <c r="C30" s="225"/>
      <c r="D30" s="174" t="s">
        <v>108</v>
      </c>
      <c r="E30" s="160"/>
      <c r="F30" s="175">
        <f>AA11</f>
        <v>2.96</v>
      </c>
      <c r="G30" s="167"/>
      <c r="H30" s="213"/>
      <c r="I30" s="169"/>
      <c r="J30" s="202">
        <f>F30*H30</f>
        <v>0</v>
      </c>
      <c r="K30" s="200"/>
      <c r="L30" s="199"/>
      <c r="M30" s="200"/>
    </row>
    <row r="31" spans="1:17" ht="14.25">
      <c r="A31" s="172"/>
      <c r="B31" s="224"/>
      <c r="C31" s="225"/>
      <c r="D31" s="160"/>
      <c r="E31" s="160"/>
      <c r="F31" s="166"/>
      <c r="G31" s="167"/>
      <c r="H31" s="215"/>
      <c r="I31" s="169"/>
      <c r="J31" s="194"/>
      <c r="K31" s="200"/>
      <c r="L31" s="199"/>
      <c r="M31" s="200"/>
    </row>
    <row r="32" spans="1:17" ht="38.25">
      <c r="A32" s="172" t="s">
        <v>68</v>
      </c>
      <c r="B32" s="173" t="s">
        <v>24</v>
      </c>
      <c r="C32" s="225"/>
      <c r="D32" s="174" t="s">
        <v>108</v>
      </c>
      <c r="E32" s="160"/>
      <c r="F32" s="175">
        <f>Z11</f>
        <v>13.83</v>
      </c>
      <c r="G32" s="167"/>
      <c r="H32" s="213"/>
      <c r="I32" s="169"/>
      <c r="J32" s="202">
        <f>F32*H32</f>
        <v>0</v>
      </c>
      <c r="K32" s="200"/>
      <c r="L32" s="199"/>
      <c r="M32" s="200"/>
    </row>
    <row r="33" spans="1:15" ht="14.25">
      <c r="A33" s="172"/>
      <c r="B33" s="173"/>
      <c r="C33" s="225"/>
      <c r="D33" s="165"/>
      <c r="E33" s="160"/>
      <c r="F33" s="166"/>
      <c r="G33" s="167"/>
      <c r="H33" s="215"/>
      <c r="I33" s="169"/>
      <c r="J33" s="194"/>
      <c r="K33" s="200"/>
      <c r="L33" s="199"/>
      <c r="M33" s="200"/>
    </row>
    <row r="34" spans="1:15" ht="76.5">
      <c r="A34" s="172" t="s">
        <v>69</v>
      </c>
      <c r="B34" s="224" t="s">
        <v>25</v>
      </c>
      <c r="C34" s="226"/>
      <c r="D34" s="179"/>
      <c r="E34" s="179"/>
      <c r="F34" s="166"/>
      <c r="G34" s="167"/>
      <c r="H34" s="198"/>
      <c r="I34" s="163"/>
      <c r="J34" s="198"/>
      <c r="K34" s="171"/>
      <c r="L34" s="219"/>
      <c r="M34" s="200"/>
    </row>
    <row r="35" spans="1:15" ht="15">
      <c r="A35" s="172"/>
      <c r="B35" s="173" t="s">
        <v>78</v>
      </c>
      <c r="C35" s="173"/>
      <c r="D35" s="174" t="s">
        <v>108</v>
      </c>
      <c r="E35" s="160"/>
      <c r="F35" s="175">
        <f>(F24+F25-F30-F32)*0.95</f>
        <v>22.233799999999995</v>
      </c>
      <c r="G35" s="167"/>
      <c r="H35" s="213"/>
      <c r="I35" s="163"/>
      <c r="J35" s="202">
        <f>F35*H35</f>
        <v>0</v>
      </c>
      <c r="K35" s="171"/>
      <c r="L35" s="219"/>
      <c r="M35" s="200"/>
    </row>
    <row r="36" spans="1:15" ht="14.25">
      <c r="A36" s="172"/>
      <c r="B36" s="173" t="s">
        <v>79</v>
      </c>
      <c r="C36" s="173"/>
      <c r="D36" s="174" t="s">
        <v>108</v>
      </c>
      <c r="E36" s="160"/>
      <c r="F36" s="181">
        <f>(F24+F25-F30-F32)*0.05</f>
        <v>1.1701999999999999</v>
      </c>
      <c r="G36" s="167"/>
      <c r="H36" s="213"/>
      <c r="I36" s="163"/>
      <c r="J36" s="202">
        <f>F36*H36</f>
        <v>0</v>
      </c>
      <c r="K36" s="199"/>
      <c r="L36" s="199"/>
      <c r="M36" s="200"/>
      <c r="N36" s="200"/>
      <c r="O36" s="200"/>
    </row>
    <row r="37" spans="1:15" ht="14.25">
      <c r="A37" s="172"/>
      <c r="B37" s="173"/>
      <c r="C37" s="173"/>
      <c r="D37" s="165"/>
      <c r="E37" s="160"/>
      <c r="F37" s="166"/>
      <c r="G37" s="167"/>
      <c r="H37" s="215"/>
      <c r="I37" s="163"/>
      <c r="J37" s="194"/>
      <c r="K37" s="199"/>
      <c r="L37" s="199"/>
      <c r="M37" s="200"/>
      <c r="N37" s="200"/>
      <c r="O37" s="200"/>
    </row>
    <row r="38" spans="1:15" ht="14.25">
      <c r="A38" s="172"/>
      <c r="B38" s="224"/>
      <c r="C38" s="226"/>
      <c r="D38" s="160"/>
      <c r="E38" s="160"/>
      <c r="F38" s="166"/>
      <c r="G38" s="167"/>
      <c r="H38" s="215"/>
      <c r="I38" s="163"/>
      <c r="J38" s="194"/>
      <c r="K38" s="199"/>
      <c r="L38" s="199"/>
      <c r="M38" s="200"/>
      <c r="N38" s="200"/>
      <c r="O38" s="200"/>
    </row>
    <row r="39" spans="1:15" ht="25.5">
      <c r="A39" s="172" t="s">
        <v>72</v>
      </c>
      <c r="B39" s="228" t="s">
        <v>27</v>
      </c>
      <c r="C39" s="226"/>
      <c r="D39" s="174" t="s">
        <v>108</v>
      </c>
      <c r="E39" s="160"/>
      <c r="F39" s="175">
        <f>F24+F25-F35-F36</f>
        <v>16.79</v>
      </c>
      <c r="G39" s="167"/>
      <c r="H39" s="213"/>
      <c r="I39" s="163"/>
      <c r="J39" s="202">
        <f>F39*H39</f>
        <v>0</v>
      </c>
      <c r="K39" s="199"/>
      <c r="L39" s="199"/>
      <c r="M39" s="200"/>
      <c r="N39" s="200"/>
      <c r="O39" s="200"/>
    </row>
    <row r="40" spans="1:15">
      <c r="A40" s="172"/>
      <c r="B40" s="228"/>
      <c r="C40" s="226"/>
      <c r="D40" s="165"/>
      <c r="E40" s="160"/>
      <c r="F40" s="166"/>
      <c r="G40" s="167"/>
      <c r="H40" s="215"/>
      <c r="I40" s="163"/>
      <c r="J40" s="194"/>
      <c r="K40" s="217"/>
      <c r="L40" s="200"/>
      <c r="M40" s="200"/>
      <c r="N40" s="200"/>
      <c r="O40" s="200"/>
    </row>
    <row r="41" spans="1:15" ht="13.5" thickBot="1">
      <c r="A41" s="183"/>
      <c r="B41" s="232" t="s">
        <v>28</v>
      </c>
      <c r="C41" s="232"/>
      <c r="D41" s="233"/>
      <c r="E41" s="233"/>
      <c r="F41" s="234"/>
      <c r="G41" s="235"/>
      <c r="H41" s="189"/>
      <c r="I41" s="236"/>
      <c r="J41" s="189">
        <f>SUM(J22:J40)</f>
        <v>0</v>
      </c>
      <c r="K41" s="217"/>
      <c r="L41" s="200"/>
      <c r="M41" s="200"/>
      <c r="N41" s="200"/>
      <c r="O41" s="200"/>
    </row>
    <row r="42" spans="1:15" ht="13.5" thickTop="1">
      <c r="A42" s="190"/>
      <c r="B42" s="237"/>
      <c r="C42" s="237"/>
      <c r="D42" s="238"/>
      <c r="E42" s="238"/>
      <c r="F42" s="166"/>
      <c r="G42" s="167"/>
      <c r="H42" s="194"/>
      <c r="I42" s="169"/>
      <c r="J42" s="194"/>
      <c r="K42" s="217"/>
      <c r="L42" s="200"/>
      <c r="M42" s="200"/>
      <c r="N42" s="200"/>
      <c r="O42" s="200"/>
    </row>
    <row r="43" spans="1:15">
      <c r="A43" s="190"/>
      <c r="B43" s="237"/>
      <c r="C43" s="237"/>
      <c r="D43" s="238"/>
      <c r="E43" s="238"/>
      <c r="F43" s="166"/>
      <c r="G43" s="167"/>
      <c r="H43" s="194"/>
      <c r="I43" s="169"/>
      <c r="J43" s="194"/>
      <c r="K43" s="217"/>
      <c r="L43" s="200"/>
      <c r="M43" s="200"/>
      <c r="N43" s="200"/>
      <c r="O43" s="200"/>
    </row>
    <row r="44" spans="1:15" ht="15">
      <c r="A44" s="195" t="s">
        <v>63</v>
      </c>
      <c r="B44" s="239" t="s">
        <v>29</v>
      </c>
      <c r="C44" s="239"/>
      <c r="D44" s="160"/>
      <c r="E44" s="160"/>
      <c r="F44" s="170"/>
      <c r="G44" s="171"/>
      <c r="H44" s="198"/>
      <c r="I44" s="163"/>
      <c r="J44" s="198"/>
      <c r="K44" s="217"/>
      <c r="L44" s="200"/>
      <c r="M44" s="200"/>
      <c r="N44" s="200"/>
      <c r="O44" s="200"/>
    </row>
    <row r="45" spans="1:15" ht="15">
      <c r="A45" s="195"/>
      <c r="B45" s="239"/>
      <c r="C45" s="239"/>
      <c r="D45" s="160"/>
      <c r="E45" s="160"/>
      <c r="F45" s="170"/>
      <c r="G45" s="171"/>
      <c r="H45" s="198"/>
      <c r="I45" s="163"/>
      <c r="J45" s="198"/>
      <c r="K45" s="217"/>
      <c r="L45" s="200"/>
      <c r="M45" s="200"/>
    </row>
    <row r="46" spans="1:15" ht="38.25">
      <c r="A46" s="172" t="s">
        <v>58</v>
      </c>
      <c r="B46" s="226" t="s">
        <v>396</v>
      </c>
      <c r="C46" s="226"/>
      <c r="D46" s="174" t="s">
        <v>60</v>
      </c>
      <c r="E46" s="160"/>
      <c r="F46" s="240">
        <f>Q19</f>
        <v>28.71</v>
      </c>
      <c r="G46" s="223"/>
      <c r="H46" s="213"/>
      <c r="I46" s="163"/>
      <c r="J46" s="202">
        <f>F46*H46</f>
        <v>0</v>
      </c>
      <c r="K46" s="217"/>
      <c r="L46" s="200"/>
      <c r="M46" s="200"/>
      <c r="N46" s="200"/>
      <c r="O46" s="200"/>
    </row>
    <row r="47" spans="1:15">
      <c r="A47" s="172"/>
      <c r="B47" s="226"/>
      <c r="C47" s="226"/>
      <c r="D47" s="160"/>
      <c r="E47" s="160"/>
      <c r="F47" s="170"/>
      <c r="G47" s="171"/>
      <c r="H47" s="198"/>
      <c r="I47" s="163"/>
      <c r="J47" s="198"/>
      <c r="K47" s="217"/>
      <c r="L47" s="200"/>
      <c r="M47" s="200"/>
      <c r="N47" s="200"/>
      <c r="O47" s="200"/>
    </row>
    <row r="48" spans="1:15">
      <c r="A48" s="172"/>
      <c r="B48" s="226"/>
      <c r="C48" s="226"/>
      <c r="D48" s="160"/>
      <c r="E48" s="160"/>
      <c r="F48" s="170"/>
      <c r="G48" s="171"/>
      <c r="H48" s="198"/>
      <c r="I48" s="163"/>
      <c r="J48" s="198"/>
      <c r="K48" s="217"/>
      <c r="L48" s="200"/>
      <c r="M48" s="200"/>
      <c r="N48" s="200"/>
      <c r="O48" s="200"/>
    </row>
    <row r="49" spans="1:15" ht="51">
      <c r="A49" s="172" t="s">
        <v>63</v>
      </c>
      <c r="B49" s="241" t="s">
        <v>398</v>
      </c>
      <c r="C49" s="241"/>
      <c r="D49" s="165"/>
      <c r="E49" s="165"/>
      <c r="F49" s="166"/>
      <c r="G49" s="167"/>
      <c r="H49" s="198"/>
      <c r="I49" s="163"/>
      <c r="J49" s="198"/>
      <c r="K49" s="217"/>
      <c r="L49" s="200"/>
      <c r="M49" s="200"/>
      <c r="N49" s="200"/>
      <c r="O49" s="200"/>
    </row>
    <row r="50" spans="1:15">
      <c r="A50" s="172"/>
      <c r="B50" s="241"/>
      <c r="C50" s="241"/>
      <c r="D50" s="174" t="s">
        <v>190</v>
      </c>
      <c r="E50" s="165"/>
      <c r="F50" s="175">
        <f>R13</f>
        <v>1</v>
      </c>
      <c r="G50" s="167"/>
      <c r="H50" s="213"/>
      <c r="I50" s="163"/>
      <c r="J50" s="202">
        <f>F50*H50</f>
        <v>0</v>
      </c>
      <c r="K50" s="217"/>
      <c r="L50" s="200"/>
      <c r="M50" s="200"/>
      <c r="N50" s="200"/>
      <c r="O50" s="200"/>
    </row>
    <row r="51" spans="1:15">
      <c r="A51" s="172"/>
      <c r="B51" s="241"/>
      <c r="C51" s="241"/>
      <c r="D51" s="160"/>
      <c r="E51" s="160"/>
      <c r="F51" s="170"/>
      <c r="G51" s="171"/>
      <c r="H51" s="198"/>
      <c r="I51" s="163"/>
      <c r="J51" s="198"/>
      <c r="K51" s="217"/>
      <c r="L51" s="200"/>
      <c r="M51" s="200"/>
      <c r="N51" s="200"/>
      <c r="O51" s="200"/>
    </row>
    <row r="52" spans="1:15" ht="51">
      <c r="A52" s="172" t="s">
        <v>67</v>
      </c>
      <c r="B52" s="241" t="s">
        <v>397</v>
      </c>
      <c r="C52" s="241"/>
      <c r="D52" s="165"/>
      <c r="E52" s="165"/>
      <c r="F52" s="166"/>
      <c r="G52" s="167"/>
      <c r="H52" s="198"/>
      <c r="I52" s="163"/>
      <c r="J52" s="198"/>
      <c r="K52" s="217"/>
      <c r="L52" s="200"/>
      <c r="M52" s="200"/>
      <c r="N52" s="200"/>
      <c r="O52" s="200"/>
    </row>
    <row r="53" spans="1:15">
      <c r="A53" s="172"/>
      <c r="B53" s="241"/>
      <c r="C53" s="241"/>
      <c r="D53" s="174" t="s">
        <v>190</v>
      </c>
      <c r="E53" s="165"/>
      <c r="F53" s="175">
        <f>R14</f>
        <v>1</v>
      </c>
      <c r="G53" s="167"/>
      <c r="H53" s="213"/>
      <c r="I53" s="163"/>
      <c r="J53" s="202">
        <f>F53*H53</f>
        <v>0</v>
      </c>
      <c r="K53" s="217"/>
      <c r="L53" s="200"/>
      <c r="M53" s="200"/>
      <c r="N53" s="200"/>
      <c r="O53" s="200"/>
    </row>
    <row r="54" spans="1:15">
      <c r="A54" s="172"/>
      <c r="B54" s="241"/>
      <c r="C54" s="241"/>
      <c r="D54" s="160"/>
      <c r="E54" s="160"/>
      <c r="F54" s="170"/>
      <c r="G54" s="171"/>
      <c r="H54" s="198"/>
      <c r="I54" s="163"/>
      <c r="J54" s="198"/>
      <c r="K54" s="217"/>
      <c r="L54" s="200"/>
      <c r="M54" s="200"/>
      <c r="N54" s="200"/>
      <c r="O54" s="200"/>
    </row>
    <row r="55" spans="1:15" ht="13.5" thickBot="1">
      <c r="A55" s="243"/>
      <c r="B55" s="244" t="s">
        <v>30</v>
      </c>
      <c r="C55" s="244"/>
      <c r="D55" s="186"/>
      <c r="E55" s="186"/>
      <c r="F55" s="234"/>
      <c r="G55" s="235"/>
      <c r="H55" s="189"/>
      <c r="I55" s="236"/>
      <c r="J55" s="189">
        <f>SUM(J46:J53)</f>
        <v>0</v>
      </c>
      <c r="K55" s="217"/>
      <c r="L55" s="200"/>
      <c r="M55" s="200"/>
      <c r="N55" s="200"/>
      <c r="O55" s="200"/>
    </row>
    <row r="56" spans="1:15" ht="13.5" thickTop="1">
      <c r="A56" s="245"/>
      <c r="B56" s="246"/>
      <c r="C56" s="246"/>
      <c r="D56" s="165"/>
      <c r="E56" s="165"/>
      <c r="F56" s="166"/>
      <c r="G56" s="167"/>
      <c r="H56" s="194"/>
      <c r="I56" s="169"/>
      <c r="J56" s="194"/>
      <c r="K56" s="242"/>
    </row>
    <row r="57" spans="1:15" ht="15.75">
      <c r="A57" s="247" t="s">
        <v>67</v>
      </c>
      <c r="B57" s="248" t="s">
        <v>31</v>
      </c>
      <c r="C57" s="248"/>
      <c r="D57" s="192"/>
      <c r="E57" s="192"/>
      <c r="F57" s="166"/>
      <c r="G57" s="167"/>
      <c r="H57" s="150"/>
      <c r="I57" s="163"/>
      <c r="J57" s="198"/>
      <c r="K57" s="242"/>
    </row>
    <row r="58" spans="1:15">
      <c r="A58" s="172"/>
      <c r="B58" s="249"/>
      <c r="C58" s="249"/>
      <c r="D58" s="250"/>
      <c r="E58" s="250"/>
      <c r="F58" s="170"/>
      <c r="G58" s="171"/>
      <c r="H58" s="150"/>
      <c r="I58" s="163"/>
      <c r="J58" s="198"/>
      <c r="K58" s="242"/>
    </row>
    <row r="59" spans="1:15" ht="25.5">
      <c r="A59" s="172" t="s">
        <v>58</v>
      </c>
      <c r="B59" s="173" t="s">
        <v>32</v>
      </c>
      <c r="C59" s="173"/>
      <c r="D59" s="251" t="s">
        <v>60</v>
      </c>
      <c r="E59" s="179"/>
      <c r="F59" s="175">
        <f>F9</f>
        <v>28.71</v>
      </c>
      <c r="G59" s="167"/>
      <c r="H59" s="213"/>
      <c r="I59" s="163"/>
      <c r="J59" s="202">
        <f>F59*H59</f>
        <v>0</v>
      </c>
      <c r="K59" s="242"/>
    </row>
    <row r="60" spans="1:15">
      <c r="A60" s="172"/>
      <c r="B60" s="173"/>
      <c r="C60" s="173"/>
      <c r="D60" s="179"/>
      <c r="E60" s="179"/>
      <c r="F60" s="170"/>
      <c r="G60" s="171"/>
      <c r="H60" s="150"/>
      <c r="I60" s="163"/>
      <c r="J60" s="198"/>
      <c r="K60" s="242"/>
    </row>
    <row r="61" spans="1:15">
      <c r="A61" s="172" t="s">
        <v>67</v>
      </c>
      <c r="B61" s="173" t="s">
        <v>33</v>
      </c>
      <c r="C61" s="173"/>
      <c r="D61" s="251" t="s">
        <v>60</v>
      </c>
      <c r="E61" s="179"/>
      <c r="F61" s="175">
        <f>F9</f>
        <v>28.71</v>
      </c>
      <c r="G61" s="167"/>
      <c r="H61" s="213"/>
      <c r="I61" s="163"/>
      <c r="J61" s="202">
        <f>F61*H61</f>
        <v>0</v>
      </c>
      <c r="K61" s="242"/>
    </row>
    <row r="62" spans="1:15">
      <c r="A62" s="172"/>
      <c r="B62" s="173"/>
      <c r="C62" s="173"/>
      <c r="D62" s="179"/>
      <c r="E62" s="179"/>
      <c r="F62" s="170"/>
      <c r="G62" s="171"/>
      <c r="H62" s="150"/>
      <c r="I62" s="163"/>
      <c r="J62" s="198"/>
      <c r="K62" s="242"/>
    </row>
    <row r="63" spans="1:15">
      <c r="A63" s="172" t="s">
        <v>68</v>
      </c>
      <c r="B63" s="173" t="s">
        <v>34</v>
      </c>
      <c r="C63" s="173"/>
      <c r="D63" s="251" t="s">
        <v>190</v>
      </c>
      <c r="E63" s="179"/>
      <c r="F63" s="175">
        <f>F50+F53</f>
        <v>2</v>
      </c>
      <c r="G63" s="167"/>
      <c r="H63" s="213"/>
      <c r="I63" s="163"/>
      <c r="J63" s="202">
        <f>F63*H63</f>
        <v>0</v>
      </c>
      <c r="K63" s="242"/>
    </row>
    <row r="64" spans="1:15">
      <c r="A64" s="172"/>
      <c r="B64" s="173"/>
      <c r="C64" s="173"/>
      <c r="D64" s="179"/>
      <c r="E64" s="179"/>
      <c r="F64" s="170"/>
      <c r="G64" s="171"/>
      <c r="H64" s="150"/>
      <c r="I64" s="163"/>
      <c r="J64" s="198"/>
      <c r="K64" s="242"/>
    </row>
    <row r="65" spans="1:11" ht="25.5">
      <c r="A65" s="172" t="s">
        <v>69</v>
      </c>
      <c r="B65" s="173" t="s">
        <v>35</v>
      </c>
      <c r="C65" s="173"/>
      <c r="D65" s="251" t="s">
        <v>60</v>
      </c>
      <c r="E65" s="179"/>
      <c r="F65" s="175">
        <f>F9</f>
        <v>28.71</v>
      </c>
      <c r="G65" s="167"/>
      <c r="H65" s="213"/>
      <c r="I65" s="163"/>
      <c r="J65" s="202">
        <f>F65*H65</f>
        <v>0</v>
      </c>
      <c r="K65" s="242"/>
    </row>
    <row r="66" spans="1:11">
      <c r="A66" s="172"/>
      <c r="B66" s="173"/>
      <c r="C66" s="173"/>
      <c r="D66" s="179"/>
      <c r="E66" s="179"/>
      <c r="F66" s="170"/>
      <c r="G66" s="171"/>
      <c r="H66" s="150"/>
      <c r="I66" s="163"/>
      <c r="J66" s="198"/>
      <c r="K66" s="242"/>
    </row>
    <row r="67" spans="1:11" ht="13.5" thickBot="1">
      <c r="A67" s="183"/>
      <c r="B67" s="252" t="s">
        <v>36</v>
      </c>
      <c r="C67" s="252"/>
      <c r="D67" s="253"/>
      <c r="E67" s="253"/>
      <c r="F67" s="234"/>
      <c r="G67" s="235"/>
      <c r="H67" s="254"/>
      <c r="I67" s="236"/>
      <c r="J67" s="189">
        <f>SUM(J59:J65)</f>
        <v>0</v>
      </c>
      <c r="K67" s="242"/>
    </row>
    <row r="68" spans="1:11" ht="13.5" thickTop="1">
      <c r="A68" s="190"/>
      <c r="B68" s="255"/>
      <c r="C68" s="255"/>
      <c r="D68" s="256"/>
      <c r="E68" s="256"/>
      <c r="F68" s="166"/>
      <c r="G68" s="167"/>
      <c r="H68" s="168"/>
      <c r="I68" s="169"/>
      <c r="J68" s="194"/>
      <c r="K68" s="242"/>
    </row>
    <row r="69" spans="1:11">
      <c r="A69" s="190"/>
      <c r="B69" s="255"/>
      <c r="C69" s="255"/>
      <c r="D69" s="256"/>
      <c r="E69" s="256"/>
      <c r="F69" s="166"/>
      <c r="G69" s="167"/>
      <c r="H69" s="168"/>
      <c r="I69" s="169"/>
      <c r="J69" s="194"/>
      <c r="K69" s="242"/>
    </row>
    <row r="70" spans="1:11">
      <c r="A70" s="190"/>
      <c r="B70" s="255"/>
      <c r="C70" s="255"/>
      <c r="D70" s="256"/>
      <c r="E70" s="256"/>
      <c r="F70" s="166"/>
      <c r="G70" s="167"/>
      <c r="H70" s="150"/>
      <c r="I70" s="163"/>
      <c r="J70" s="198"/>
      <c r="K70" s="242"/>
    </row>
    <row r="71" spans="1:11">
      <c r="A71" s="190"/>
      <c r="B71" s="255"/>
      <c r="C71" s="255"/>
      <c r="D71" s="256"/>
      <c r="E71" s="256"/>
      <c r="F71" s="166"/>
      <c r="G71" s="167"/>
      <c r="H71" s="150"/>
      <c r="I71" s="163"/>
      <c r="J71" s="198"/>
      <c r="K71" s="242"/>
    </row>
    <row r="72" spans="1:11">
      <c r="A72" s="190"/>
      <c r="B72" s="255"/>
      <c r="C72" s="255"/>
      <c r="D72" s="256"/>
      <c r="E72" s="256"/>
      <c r="F72" s="166"/>
      <c r="G72" s="167"/>
      <c r="H72" s="150"/>
      <c r="I72" s="163"/>
      <c r="J72" s="198"/>
      <c r="K72" s="242"/>
    </row>
    <row r="73" spans="1:11">
      <c r="A73" s="190"/>
      <c r="B73" s="255"/>
      <c r="C73" s="255"/>
      <c r="D73" s="256"/>
      <c r="E73" s="256"/>
      <c r="F73" s="166"/>
      <c r="G73" s="167"/>
      <c r="H73" s="150"/>
      <c r="I73" s="163"/>
      <c r="J73" s="198"/>
      <c r="K73" s="242"/>
    </row>
    <row r="74" spans="1:11">
      <c r="A74" s="190"/>
      <c r="B74" s="255"/>
      <c r="C74" s="255"/>
      <c r="D74" s="256"/>
      <c r="E74" s="256"/>
      <c r="F74" s="166"/>
      <c r="G74" s="167"/>
      <c r="H74" s="150"/>
      <c r="I74" s="163"/>
      <c r="J74" s="198"/>
      <c r="K74" s="242"/>
    </row>
    <row r="75" spans="1:11">
      <c r="A75" s="190"/>
      <c r="B75" s="255"/>
      <c r="C75" s="255"/>
      <c r="D75" s="256"/>
      <c r="E75" s="256"/>
      <c r="F75" s="166"/>
      <c r="G75" s="167"/>
      <c r="H75" s="150"/>
      <c r="I75" s="163"/>
      <c r="J75" s="198"/>
      <c r="K75" s="242"/>
    </row>
    <row r="76" spans="1:11">
      <c r="A76" s="190"/>
      <c r="B76" s="255"/>
      <c r="C76" s="255"/>
      <c r="D76" s="256"/>
      <c r="E76" s="256"/>
      <c r="F76" s="166"/>
      <c r="G76" s="167"/>
      <c r="H76" s="150"/>
      <c r="I76" s="163"/>
      <c r="J76" s="198"/>
      <c r="K76" s="242"/>
    </row>
    <row r="77" spans="1:11">
      <c r="A77" s="172"/>
      <c r="B77" s="258"/>
      <c r="C77" s="258"/>
      <c r="D77" s="257"/>
      <c r="E77" s="257"/>
      <c r="F77" s="170"/>
      <c r="G77" s="171"/>
      <c r="H77" s="150"/>
      <c r="I77" s="163"/>
      <c r="J77" s="198"/>
      <c r="K77" s="242"/>
    </row>
    <row r="78" spans="1:11">
      <c r="B78" s="242"/>
      <c r="C78" s="242"/>
      <c r="D78" s="242"/>
      <c r="E78" s="242"/>
      <c r="F78" s="206"/>
      <c r="G78" s="242"/>
      <c r="H78" s="260"/>
      <c r="I78" s="261"/>
      <c r="J78" s="262"/>
      <c r="K78" s="242"/>
    </row>
    <row r="79" spans="1:11">
      <c r="B79" s="242"/>
      <c r="C79" s="242"/>
      <c r="D79" s="242"/>
      <c r="E79" s="242"/>
      <c r="F79" s="206"/>
      <c r="G79" s="242"/>
      <c r="H79" s="260"/>
      <c r="I79" s="261"/>
      <c r="J79" s="262"/>
      <c r="K79" s="242"/>
    </row>
    <row r="80" spans="1:11">
      <c r="B80" s="242"/>
      <c r="C80" s="242"/>
      <c r="D80" s="242"/>
      <c r="E80" s="242"/>
      <c r="F80" s="206"/>
      <c r="G80" s="242"/>
      <c r="H80" s="260"/>
      <c r="I80" s="261"/>
      <c r="J80" s="262"/>
      <c r="K80" s="242"/>
    </row>
    <row r="81" spans="2:18">
      <c r="B81" s="242"/>
      <c r="C81" s="242"/>
      <c r="D81" s="242"/>
      <c r="E81" s="242"/>
      <c r="F81" s="206"/>
      <c r="G81" s="242"/>
      <c r="H81" s="260"/>
      <c r="I81" s="261"/>
      <c r="J81" s="262"/>
      <c r="K81" s="242"/>
    </row>
    <row r="82" spans="2:18">
      <c r="B82" s="242"/>
      <c r="C82" s="242"/>
      <c r="D82" s="242"/>
      <c r="E82" s="242"/>
      <c r="F82" s="206"/>
      <c r="G82" s="242"/>
      <c r="H82" s="260"/>
      <c r="I82" s="261"/>
      <c r="J82" s="262"/>
      <c r="K82" s="242"/>
      <c r="Q82" s="259"/>
      <c r="R82" s="259"/>
    </row>
    <row r="83" spans="2:18">
      <c r="B83" s="242"/>
      <c r="C83" s="242"/>
      <c r="D83" s="242"/>
      <c r="E83" s="242"/>
      <c r="F83" s="206"/>
      <c r="G83" s="242"/>
      <c r="H83" s="260"/>
      <c r="I83" s="261"/>
      <c r="J83" s="262"/>
      <c r="K83" s="242"/>
      <c r="Q83" s="259"/>
      <c r="R83" s="259"/>
    </row>
    <row r="84" spans="2:18">
      <c r="B84" s="242"/>
      <c r="C84" s="242"/>
      <c r="D84" s="242"/>
      <c r="E84" s="242"/>
      <c r="F84" s="206"/>
      <c r="G84" s="242"/>
      <c r="H84" s="260"/>
      <c r="I84" s="261"/>
      <c r="J84" s="262"/>
      <c r="K84" s="242"/>
      <c r="Q84" s="259"/>
      <c r="R84" s="259"/>
    </row>
    <row r="85" spans="2:18">
      <c r="B85" s="242"/>
      <c r="C85" s="242"/>
      <c r="D85" s="242"/>
      <c r="E85" s="242"/>
      <c r="F85" s="206"/>
      <c r="G85" s="242"/>
      <c r="H85" s="260"/>
      <c r="I85" s="261"/>
      <c r="J85" s="262"/>
      <c r="K85" s="242"/>
      <c r="Q85" s="259"/>
      <c r="R85" s="259"/>
    </row>
    <row r="86" spans="2:18">
      <c r="B86" s="242"/>
      <c r="C86" s="242"/>
      <c r="D86" s="242"/>
      <c r="E86" s="242"/>
      <c r="F86" s="206"/>
      <c r="G86" s="242"/>
      <c r="H86" s="260"/>
      <c r="I86" s="261"/>
      <c r="J86" s="262"/>
      <c r="K86" s="242"/>
      <c r="Q86" s="259"/>
      <c r="R86" s="259"/>
    </row>
    <row r="87" spans="2:18">
      <c r="B87" s="242"/>
      <c r="C87" s="242"/>
      <c r="D87" s="242"/>
      <c r="E87" s="242"/>
      <c r="F87" s="206"/>
      <c r="G87" s="242"/>
      <c r="H87" s="260"/>
      <c r="I87" s="261"/>
      <c r="J87" s="262"/>
      <c r="K87" s="242"/>
      <c r="Q87" s="259"/>
      <c r="R87" s="259"/>
    </row>
    <row r="88" spans="2:18">
      <c r="B88" s="242"/>
      <c r="C88" s="242"/>
      <c r="D88" s="242"/>
      <c r="E88" s="242"/>
      <c r="F88" s="206"/>
      <c r="G88" s="242"/>
      <c r="H88" s="260"/>
      <c r="I88" s="261"/>
      <c r="J88" s="262"/>
      <c r="K88" s="242"/>
      <c r="Q88" s="259"/>
      <c r="R88" s="259"/>
    </row>
    <row r="89" spans="2:18">
      <c r="B89" s="242"/>
      <c r="C89" s="242"/>
      <c r="D89" s="242"/>
      <c r="E89" s="242"/>
      <c r="F89" s="206"/>
      <c r="G89" s="242"/>
      <c r="H89" s="260"/>
      <c r="I89" s="261"/>
      <c r="J89" s="262"/>
      <c r="K89" s="242"/>
      <c r="Q89" s="259"/>
      <c r="R89" s="259"/>
    </row>
    <row r="90" spans="2:18">
      <c r="B90" s="242"/>
      <c r="C90" s="242"/>
      <c r="D90" s="242"/>
      <c r="E90" s="242"/>
      <c r="F90" s="206"/>
      <c r="G90" s="242"/>
      <c r="H90" s="260"/>
      <c r="I90" s="261"/>
      <c r="J90" s="262"/>
      <c r="K90" s="242"/>
      <c r="Q90" s="259"/>
      <c r="R90" s="259"/>
    </row>
    <row r="91" spans="2:18">
      <c r="B91" s="242"/>
      <c r="C91" s="242"/>
      <c r="D91" s="242"/>
      <c r="E91" s="242"/>
      <c r="F91" s="206"/>
      <c r="G91" s="242"/>
      <c r="H91" s="260"/>
      <c r="I91" s="261"/>
      <c r="J91" s="262"/>
      <c r="K91" s="242"/>
      <c r="Q91" s="259"/>
      <c r="R91" s="259"/>
    </row>
    <row r="92" spans="2:18">
      <c r="B92" s="242"/>
      <c r="C92" s="242"/>
      <c r="D92" s="242"/>
      <c r="E92" s="242"/>
      <c r="F92" s="206"/>
      <c r="G92" s="242"/>
      <c r="H92" s="260"/>
      <c r="I92" s="261"/>
      <c r="J92" s="262"/>
      <c r="K92" s="263"/>
      <c r="L92" s="263"/>
      <c r="M92" s="264"/>
      <c r="Q92" s="259"/>
      <c r="R92" s="259"/>
    </row>
    <row r="93" spans="2:18">
      <c r="B93" s="242"/>
      <c r="C93" s="242"/>
      <c r="D93" s="242"/>
      <c r="E93" s="242"/>
      <c r="F93" s="206"/>
      <c r="G93" s="242"/>
      <c r="H93" s="260"/>
      <c r="I93" s="261"/>
      <c r="J93" s="262"/>
      <c r="K93" s="265"/>
      <c r="L93" s="265"/>
      <c r="M93" s="264"/>
    </row>
    <row r="94" spans="2:18">
      <c r="B94" s="242"/>
      <c r="C94" s="242"/>
      <c r="D94" s="242"/>
      <c r="E94" s="242"/>
      <c r="F94" s="206"/>
      <c r="G94" s="242"/>
      <c r="H94" s="260"/>
      <c r="I94" s="261"/>
      <c r="J94" s="262"/>
      <c r="K94" s="261"/>
      <c r="L94" s="261"/>
      <c r="M94" s="264"/>
    </row>
    <row r="95" spans="2:18">
      <c r="B95" s="242"/>
      <c r="C95" s="242"/>
      <c r="D95" s="242"/>
      <c r="E95" s="242"/>
      <c r="F95" s="206"/>
      <c r="G95" s="242"/>
      <c r="H95" s="260"/>
      <c r="I95" s="261"/>
      <c r="J95" s="262"/>
      <c r="K95" s="242"/>
    </row>
    <row r="96" spans="2:18">
      <c r="B96" s="242"/>
      <c r="C96" s="242"/>
      <c r="D96" s="242"/>
      <c r="E96" s="242"/>
      <c r="F96" s="206"/>
      <c r="G96" s="242"/>
      <c r="H96" s="260"/>
      <c r="I96" s="261"/>
      <c r="J96" s="262"/>
      <c r="K96" s="242"/>
    </row>
    <row r="97" spans="2:11">
      <c r="B97" s="242"/>
      <c r="C97" s="242"/>
      <c r="D97" s="242"/>
      <c r="E97" s="242"/>
      <c r="F97" s="206"/>
      <c r="G97" s="242"/>
      <c r="H97" s="260"/>
      <c r="I97" s="261"/>
      <c r="J97" s="262"/>
      <c r="K97" s="242"/>
    </row>
    <row r="98" spans="2:11">
      <c r="B98" s="242"/>
      <c r="C98" s="242"/>
      <c r="D98" s="242"/>
      <c r="E98" s="242"/>
      <c r="F98" s="206"/>
      <c r="G98" s="242"/>
      <c r="H98" s="260"/>
      <c r="I98" s="261"/>
      <c r="J98" s="262"/>
      <c r="K98" s="242"/>
    </row>
    <row r="99" spans="2:11">
      <c r="B99" s="242"/>
      <c r="C99" s="242"/>
      <c r="D99" s="242"/>
      <c r="E99" s="242"/>
      <c r="F99" s="206"/>
      <c r="G99" s="242"/>
      <c r="H99" s="260"/>
      <c r="I99" s="261"/>
      <c r="J99" s="262"/>
      <c r="K99" s="242"/>
    </row>
    <row r="100" spans="2:11">
      <c r="B100" s="242"/>
      <c r="C100" s="242"/>
      <c r="D100" s="242"/>
      <c r="E100" s="242"/>
      <c r="F100" s="206"/>
      <c r="G100" s="242"/>
      <c r="H100" s="260"/>
      <c r="I100" s="261"/>
      <c r="J100" s="262"/>
      <c r="K100" s="242"/>
    </row>
    <row r="101" spans="2:11">
      <c r="B101" s="242"/>
      <c r="C101" s="242"/>
      <c r="D101" s="242"/>
      <c r="E101" s="242"/>
      <c r="F101" s="206"/>
      <c r="G101" s="242"/>
      <c r="H101" s="260"/>
      <c r="I101" s="261"/>
      <c r="J101" s="262"/>
      <c r="K101" s="242"/>
    </row>
    <row r="102" spans="2:11">
      <c r="B102" s="242"/>
      <c r="C102" s="242"/>
      <c r="D102" s="242"/>
      <c r="E102" s="242"/>
      <c r="F102" s="206"/>
      <c r="G102" s="242"/>
      <c r="H102" s="260"/>
      <c r="I102" s="261"/>
      <c r="J102" s="262"/>
      <c r="K102" s="242"/>
    </row>
    <row r="103" spans="2:11">
      <c r="B103" s="242"/>
      <c r="C103" s="242"/>
      <c r="D103" s="242"/>
      <c r="E103" s="242"/>
      <c r="F103" s="206"/>
      <c r="G103" s="242"/>
      <c r="H103" s="260"/>
      <c r="I103" s="261"/>
      <c r="J103" s="262"/>
      <c r="K103" s="242"/>
    </row>
    <row r="104" spans="2:11">
      <c r="B104" s="242"/>
      <c r="C104" s="242"/>
      <c r="D104" s="242"/>
      <c r="E104" s="242"/>
      <c r="F104" s="206"/>
      <c r="G104" s="242"/>
      <c r="H104" s="260"/>
      <c r="I104" s="261"/>
      <c r="J104" s="262"/>
      <c r="K104" s="242"/>
    </row>
    <row r="105" spans="2:11">
      <c r="B105" s="242"/>
      <c r="C105" s="242"/>
      <c r="D105" s="242"/>
      <c r="E105" s="242"/>
      <c r="F105" s="206"/>
      <c r="G105" s="242"/>
      <c r="H105" s="260"/>
      <c r="I105" s="261"/>
      <c r="J105" s="262"/>
      <c r="K105" s="242"/>
    </row>
    <row r="106" spans="2:11">
      <c r="B106" s="242"/>
      <c r="C106" s="242"/>
      <c r="D106" s="242"/>
      <c r="E106" s="242"/>
      <c r="F106" s="206"/>
      <c r="G106" s="242"/>
      <c r="H106" s="260"/>
      <c r="I106" s="261"/>
      <c r="J106" s="262"/>
      <c r="K106" s="242"/>
    </row>
    <row r="107" spans="2:11">
      <c r="B107" s="242"/>
      <c r="C107" s="242"/>
      <c r="D107" s="242"/>
      <c r="E107" s="242"/>
      <c r="F107" s="206"/>
      <c r="G107" s="242"/>
      <c r="H107" s="260"/>
      <c r="I107" s="261"/>
      <c r="J107" s="262"/>
      <c r="K107" s="242"/>
    </row>
    <row r="108" spans="2:11">
      <c r="B108" s="242"/>
      <c r="C108" s="242"/>
      <c r="D108" s="242"/>
      <c r="E108" s="242"/>
      <c r="F108" s="206"/>
      <c r="G108" s="242"/>
      <c r="H108" s="260"/>
      <c r="I108" s="261"/>
      <c r="J108" s="262"/>
      <c r="K108" s="242"/>
    </row>
    <row r="109" spans="2:11">
      <c r="B109" s="242"/>
      <c r="C109" s="242"/>
      <c r="D109" s="242"/>
      <c r="E109" s="242"/>
      <c r="F109" s="206"/>
      <c r="G109" s="242"/>
      <c r="H109" s="260"/>
      <c r="I109" s="261"/>
      <c r="J109" s="262"/>
      <c r="K109" s="242"/>
    </row>
    <row r="110" spans="2:11">
      <c r="B110" s="242"/>
      <c r="C110" s="242"/>
      <c r="D110" s="242"/>
      <c r="E110" s="242"/>
      <c r="F110" s="206"/>
      <c r="G110" s="242"/>
      <c r="H110" s="260"/>
      <c r="I110" s="261"/>
      <c r="J110" s="262"/>
      <c r="K110" s="242"/>
    </row>
    <row r="111" spans="2:11">
      <c r="B111" s="242"/>
      <c r="C111" s="242"/>
      <c r="D111" s="242"/>
      <c r="E111" s="242"/>
      <c r="F111" s="206"/>
      <c r="G111" s="242"/>
      <c r="H111" s="260"/>
      <c r="I111" s="261"/>
      <c r="J111" s="262"/>
      <c r="K111" s="242"/>
    </row>
    <row r="112" spans="2:11">
      <c r="B112" s="242"/>
      <c r="C112" s="242"/>
      <c r="D112" s="242"/>
      <c r="E112" s="242"/>
      <c r="F112" s="206"/>
      <c r="G112" s="242"/>
      <c r="H112" s="260"/>
      <c r="I112" s="261"/>
      <c r="J112" s="262"/>
      <c r="K112" s="242"/>
    </row>
    <row r="113" spans="2:11">
      <c r="B113" s="242"/>
      <c r="C113" s="242"/>
      <c r="D113" s="242"/>
      <c r="E113" s="242"/>
      <c r="F113" s="206"/>
      <c r="G113" s="242"/>
      <c r="H113" s="260"/>
      <c r="I113" s="261"/>
      <c r="J113" s="262"/>
      <c r="K113" s="242"/>
    </row>
    <row r="114" spans="2:11">
      <c r="B114" s="242"/>
      <c r="C114" s="242"/>
      <c r="D114" s="242"/>
      <c r="E114" s="242"/>
      <c r="F114" s="206"/>
      <c r="G114" s="242"/>
      <c r="H114" s="260"/>
      <c r="I114" s="261"/>
      <c r="J114" s="262"/>
      <c r="K114" s="242"/>
    </row>
    <row r="115" spans="2:11">
      <c r="B115" s="242"/>
      <c r="C115" s="242"/>
      <c r="D115" s="242"/>
      <c r="E115" s="242"/>
      <c r="F115" s="206"/>
      <c r="G115" s="242"/>
      <c r="H115" s="260"/>
      <c r="I115" s="261"/>
      <c r="J115" s="262"/>
      <c r="K115" s="242"/>
    </row>
    <row r="116" spans="2:11">
      <c r="B116" s="242"/>
      <c r="C116" s="242"/>
      <c r="D116" s="242"/>
      <c r="E116" s="242"/>
      <c r="F116" s="206"/>
      <c r="G116" s="242"/>
      <c r="H116" s="260"/>
      <c r="I116" s="261"/>
      <c r="J116" s="262"/>
      <c r="K116" s="242"/>
    </row>
    <row r="117" spans="2:11">
      <c r="D117" s="242"/>
      <c r="E117" s="242"/>
      <c r="F117" s="206"/>
      <c r="G117" s="242"/>
      <c r="H117" s="260"/>
      <c r="I117" s="261"/>
      <c r="J117" s="262"/>
      <c r="K117" s="242"/>
    </row>
    <row r="118" spans="2:11">
      <c r="D118" s="242"/>
      <c r="E118" s="242"/>
      <c r="F118" s="206"/>
      <c r="G118" s="242"/>
      <c r="H118" s="260"/>
      <c r="I118" s="261"/>
      <c r="J118" s="262"/>
      <c r="K118" s="242"/>
    </row>
    <row r="119" spans="2:11">
      <c r="D119" s="242"/>
      <c r="E119" s="242"/>
      <c r="F119" s="206"/>
      <c r="G119" s="242"/>
      <c r="H119" s="260"/>
      <c r="I119" s="261"/>
      <c r="J119" s="262"/>
      <c r="K119" s="242"/>
    </row>
    <row r="120" spans="2:11">
      <c r="D120" s="242"/>
      <c r="E120" s="242"/>
      <c r="F120" s="206"/>
      <c r="G120" s="242"/>
      <c r="H120" s="260"/>
      <c r="I120" s="261"/>
      <c r="J120" s="262"/>
      <c r="K120" s="242"/>
    </row>
    <row r="121" spans="2:11">
      <c r="D121" s="242"/>
      <c r="E121" s="242"/>
      <c r="F121" s="206"/>
      <c r="G121" s="242"/>
      <c r="H121" s="260"/>
      <c r="I121" s="261"/>
      <c r="J121" s="262"/>
      <c r="K121" s="242"/>
    </row>
    <row r="122" spans="2:11">
      <c r="D122" s="242"/>
      <c r="E122" s="242"/>
      <c r="F122" s="206"/>
      <c r="G122" s="242"/>
      <c r="H122" s="260"/>
      <c r="I122" s="261"/>
      <c r="J122" s="262"/>
      <c r="K122" s="242"/>
    </row>
    <row r="123" spans="2:11">
      <c r="D123" s="242"/>
      <c r="E123" s="242"/>
      <c r="F123" s="206"/>
      <c r="G123" s="242"/>
      <c r="H123" s="260"/>
      <c r="I123" s="261"/>
      <c r="J123" s="262"/>
      <c r="K123" s="242"/>
    </row>
    <row r="124" spans="2:11">
      <c r="D124" s="242"/>
      <c r="E124" s="242"/>
      <c r="F124" s="206"/>
      <c r="G124" s="242"/>
      <c r="H124" s="260"/>
      <c r="I124" s="261"/>
      <c r="J124" s="262"/>
      <c r="K124" s="242"/>
    </row>
    <row r="125" spans="2:11">
      <c r="D125" s="242"/>
      <c r="E125" s="242"/>
      <c r="F125" s="206"/>
      <c r="G125" s="242"/>
      <c r="H125" s="260"/>
      <c r="I125" s="261"/>
      <c r="J125" s="262"/>
      <c r="K125" s="242"/>
    </row>
    <row r="126" spans="2:11">
      <c r="D126" s="242"/>
      <c r="E126" s="242"/>
      <c r="F126" s="206"/>
      <c r="G126" s="242"/>
      <c r="H126" s="260"/>
      <c r="I126" s="261"/>
      <c r="J126" s="262"/>
      <c r="K126" s="242"/>
    </row>
    <row r="127" spans="2:11">
      <c r="D127" s="242"/>
      <c r="E127" s="242"/>
      <c r="F127" s="206"/>
      <c r="G127" s="242"/>
      <c r="H127" s="260"/>
      <c r="I127" s="261"/>
      <c r="J127" s="262"/>
      <c r="K127" s="242"/>
    </row>
    <row r="128" spans="2:11">
      <c r="D128" s="242"/>
      <c r="E128" s="242"/>
      <c r="F128" s="206"/>
      <c r="G128" s="242"/>
      <c r="H128" s="260"/>
      <c r="I128" s="261"/>
      <c r="J128" s="262"/>
      <c r="K128" s="242"/>
    </row>
    <row r="129" spans="4:11">
      <c r="D129" s="242"/>
      <c r="E129" s="242"/>
      <c r="F129" s="206"/>
      <c r="G129" s="242"/>
      <c r="H129" s="260"/>
      <c r="I129" s="261"/>
      <c r="J129" s="262"/>
      <c r="K129" s="242"/>
    </row>
    <row r="130" spans="4:11">
      <c r="D130" s="242"/>
      <c r="E130" s="242"/>
      <c r="F130" s="206"/>
      <c r="G130" s="242"/>
      <c r="H130" s="260"/>
      <c r="I130" s="261"/>
      <c r="J130" s="262"/>
      <c r="K130" s="242"/>
    </row>
    <row r="131" spans="4:11">
      <c r="D131" s="242"/>
      <c r="E131" s="242"/>
      <c r="F131" s="206"/>
      <c r="G131" s="242"/>
      <c r="H131" s="260"/>
      <c r="I131" s="261"/>
      <c r="J131" s="262"/>
      <c r="K131" s="242"/>
    </row>
    <row r="132" spans="4:11">
      <c r="D132" s="242"/>
      <c r="E132" s="242"/>
      <c r="F132" s="206"/>
      <c r="G132" s="242"/>
      <c r="H132" s="260"/>
      <c r="I132" s="261"/>
      <c r="J132" s="262"/>
      <c r="K132" s="242"/>
    </row>
    <row r="133" spans="4:11">
      <c r="D133" s="242"/>
      <c r="E133" s="242"/>
      <c r="F133" s="206"/>
      <c r="G133" s="242"/>
      <c r="H133" s="260"/>
      <c r="I133" s="261"/>
      <c r="J133" s="262"/>
      <c r="K133" s="242"/>
    </row>
    <row r="134" spans="4:11">
      <c r="D134" s="242"/>
      <c r="E134" s="242"/>
      <c r="F134" s="206"/>
      <c r="G134" s="242"/>
      <c r="H134" s="260"/>
      <c r="I134" s="261"/>
      <c r="J134" s="262"/>
    </row>
    <row r="135" spans="4:11">
      <c r="D135" s="242"/>
      <c r="E135" s="242"/>
      <c r="F135" s="206"/>
      <c r="G135" s="242"/>
      <c r="H135" s="260"/>
      <c r="I135" s="261"/>
      <c r="J135" s="262"/>
    </row>
    <row r="136" spans="4:11">
      <c r="D136" s="242"/>
      <c r="E136" s="242"/>
      <c r="F136" s="206"/>
      <c r="G136" s="242"/>
      <c r="H136" s="260"/>
      <c r="I136" s="261"/>
      <c r="J136" s="262"/>
    </row>
    <row r="137" spans="4:11">
      <c r="D137" s="242"/>
      <c r="E137" s="242"/>
      <c r="F137" s="206"/>
      <c r="G137" s="242"/>
      <c r="H137" s="260"/>
      <c r="I137" s="261"/>
      <c r="J137" s="262"/>
    </row>
    <row r="138" spans="4:11">
      <c r="D138" s="242"/>
      <c r="E138" s="242"/>
      <c r="F138" s="206"/>
      <c r="G138" s="242"/>
      <c r="H138" s="260"/>
      <c r="I138" s="261"/>
      <c r="J138" s="262"/>
    </row>
    <row r="139" spans="4:11">
      <c r="D139" s="242"/>
      <c r="E139" s="242"/>
      <c r="F139" s="206"/>
      <c r="G139" s="242"/>
      <c r="H139" s="260"/>
      <c r="I139" s="261"/>
      <c r="J139" s="262"/>
    </row>
    <row r="140" spans="4:11">
      <c r="D140" s="242"/>
      <c r="E140" s="242"/>
      <c r="F140" s="206"/>
      <c r="G140" s="242"/>
      <c r="H140" s="260"/>
      <c r="I140" s="261"/>
      <c r="J140" s="262"/>
    </row>
    <row r="141" spans="4:11">
      <c r="D141" s="242"/>
      <c r="E141" s="242"/>
      <c r="F141" s="206"/>
      <c r="G141" s="242"/>
      <c r="H141" s="260"/>
      <c r="I141" s="266"/>
      <c r="J141" s="262"/>
    </row>
    <row r="142" spans="4:11">
      <c r="D142" s="242"/>
      <c r="E142" s="242"/>
      <c r="F142" s="206"/>
      <c r="G142" s="242"/>
      <c r="H142" s="260"/>
      <c r="I142" s="266"/>
      <c r="J142" s="262"/>
    </row>
    <row r="143" spans="4:11">
      <c r="D143" s="242"/>
      <c r="E143" s="242"/>
      <c r="F143" s="206"/>
      <c r="G143" s="242"/>
      <c r="H143" s="260"/>
      <c r="I143" s="266"/>
      <c r="J143" s="262"/>
    </row>
    <row r="144" spans="4:11">
      <c r="D144" s="242"/>
      <c r="E144" s="242"/>
      <c r="F144" s="206"/>
      <c r="G144" s="242"/>
      <c r="H144" s="260"/>
      <c r="I144" s="266"/>
      <c r="J144" s="262"/>
    </row>
    <row r="145" spans="4:10">
      <c r="D145" s="242"/>
      <c r="E145" s="242"/>
      <c r="F145" s="206"/>
      <c r="G145" s="242"/>
      <c r="H145" s="260"/>
      <c r="I145" s="266"/>
      <c r="J145" s="262"/>
    </row>
    <row r="146" spans="4:10">
      <c r="D146" s="242"/>
      <c r="E146" s="242"/>
      <c r="F146" s="206"/>
      <c r="G146" s="242"/>
      <c r="H146" s="260"/>
      <c r="I146" s="266"/>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62"/>
    </row>
    <row r="184" spans="4:10">
      <c r="D184" s="242"/>
      <c r="E184" s="242"/>
      <c r="F184" s="206"/>
      <c r="G184" s="242"/>
      <c r="H184" s="260"/>
      <c r="I184" s="266"/>
      <c r="J184" s="262"/>
    </row>
    <row r="185" spans="4:10">
      <c r="D185" s="242"/>
      <c r="E185" s="242"/>
      <c r="F185" s="206"/>
      <c r="G185" s="242"/>
      <c r="H185" s="260"/>
      <c r="I185" s="266"/>
      <c r="J185" s="262"/>
    </row>
    <row r="186" spans="4:10">
      <c r="D186" s="242"/>
      <c r="E186" s="242"/>
      <c r="F186" s="206"/>
      <c r="G186" s="242"/>
      <c r="H186" s="260"/>
      <c r="I186" s="266"/>
      <c r="J186" s="206"/>
    </row>
    <row r="187" spans="4:10">
      <c r="D187" s="242"/>
      <c r="E187" s="242"/>
      <c r="F187" s="206"/>
      <c r="G187" s="242"/>
      <c r="H187" s="260"/>
      <c r="I187" s="266"/>
      <c r="J187" s="206"/>
    </row>
    <row r="188" spans="4:10">
      <c r="D188" s="242"/>
      <c r="E188" s="242"/>
      <c r="F188" s="206"/>
      <c r="G188" s="242"/>
      <c r="H188" s="260"/>
      <c r="I188" s="266"/>
      <c r="J188" s="206"/>
    </row>
    <row r="189" spans="4:10">
      <c r="D189" s="242"/>
      <c r="E189" s="242"/>
      <c r="F189" s="206"/>
      <c r="G189" s="242"/>
      <c r="H189" s="260"/>
      <c r="I189" s="266"/>
      <c r="J189" s="206"/>
    </row>
    <row r="190" spans="4:10">
      <c r="D190" s="242"/>
      <c r="E190" s="242"/>
      <c r="F190" s="206"/>
      <c r="G190" s="242"/>
      <c r="H190" s="260"/>
      <c r="I190" s="266"/>
      <c r="J190" s="206"/>
    </row>
    <row r="191" spans="4:10">
      <c r="D191" s="242"/>
      <c r="E191" s="242"/>
      <c r="F191" s="206"/>
      <c r="G191" s="242"/>
      <c r="H191" s="260"/>
      <c r="I191" s="266"/>
      <c r="J191" s="206"/>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60"/>
      <c r="I253" s="266"/>
      <c r="J253" s="206"/>
    </row>
    <row r="254" spans="4:10">
      <c r="D254" s="242"/>
      <c r="E254" s="242"/>
      <c r="F254" s="206"/>
      <c r="G254" s="242"/>
      <c r="H254" s="260"/>
      <c r="I254" s="266"/>
      <c r="J254" s="206"/>
    </row>
    <row r="255" spans="4:10">
      <c r="D255" s="242"/>
      <c r="E255" s="242"/>
      <c r="F255" s="206"/>
      <c r="G255" s="242"/>
      <c r="H255" s="260"/>
      <c r="I255" s="266"/>
      <c r="J255" s="206"/>
    </row>
    <row r="256" spans="4:10">
      <c r="D256" s="242"/>
      <c r="E256" s="242"/>
      <c r="F256" s="206"/>
      <c r="G256" s="242"/>
      <c r="H256" s="206"/>
      <c r="I256" s="266"/>
      <c r="J256" s="206"/>
    </row>
    <row r="257" spans="4:10">
      <c r="D257" s="242"/>
      <c r="E257" s="242"/>
      <c r="F257" s="206"/>
      <c r="G257" s="242"/>
      <c r="H257" s="206"/>
      <c r="I257" s="266"/>
      <c r="J257" s="206"/>
    </row>
    <row r="258" spans="4:10">
      <c r="D258" s="242"/>
      <c r="E258" s="242"/>
      <c r="F258" s="206"/>
      <c r="G258" s="242"/>
      <c r="H258" s="206"/>
      <c r="I258" s="266"/>
      <c r="J258" s="206"/>
    </row>
    <row r="259" spans="4:10">
      <c r="D259" s="242"/>
      <c r="E259" s="242"/>
      <c r="F259" s="206"/>
      <c r="G259" s="242"/>
      <c r="H259" s="206"/>
      <c r="I259" s="266"/>
      <c r="J259" s="206"/>
    </row>
    <row r="260" spans="4:10">
      <c r="D260" s="242"/>
      <c r="E260" s="242"/>
      <c r="F260" s="206"/>
      <c r="G260" s="242"/>
      <c r="H260" s="206"/>
      <c r="I260" s="266"/>
      <c r="J260" s="206"/>
    </row>
    <row r="261" spans="4:10">
      <c r="D261" s="242"/>
      <c r="E261" s="242"/>
      <c r="F261" s="206"/>
      <c r="G261" s="242"/>
      <c r="H261" s="206"/>
      <c r="I261" s="266"/>
      <c r="J261" s="206"/>
    </row>
    <row r="262" spans="4:10">
      <c r="D262" s="242"/>
      <c r="E262" s="242"/>
      <c r="F262" s="206"/>
      <c r="G262" s="242"/>
      <c r="H262" s="206"/>
      <c r="I262" s="266"/>
      <c r="J262" s="206"/>
    </row>
    <row r="263" spans="4:10">
      <c r="D263" s="242"/>
      <c r="E263" s="242"/>
      <c r="F263" s="206"/>
      <c r="G263" s="242"/>
      <c r="H263" s="206"/>
      <c r="I263" s="266"/>
      <c r="J263" s="206"/>
    </row>
    <row r="264" spans="4:10">
      <c r="D264" s="242"/>
      <c r="E264" s="242"/>
      <c r="F264" s="206"/>
      <c r="G264" s="242"/>
      <c r="H264" s="206"/>
      <c r="I264" s="266"/>
      <c r="J264" s="206"/>
    </row>
    <row r="265" spans="4:10">
      <c r="D265" s="242"/>
      <c r="E265" s="242"/>
      <c r="F265" s="206"/>
      <c r="G265" s="242"/>
      <c r="H265" s="206"/>
      <c r="I265" s="266"/>
      <c r="J265" s="206"/>
    </row>
    <row r="266" spans="4:10">
      <c r="D266" s="242"/>
      <c r="E266" s="242"/>
      <c r="F266" s="206"/>
      <c r="G266" s="242"/>
      <c r="H266" s="206"/>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D272" s="242"/>
      <c r="E272" s="242"/>
      <c r="F272" s="206"/>
      <c r="G272" s="242"/>
      <c r="H272" s="206"/>
      <c r="I272" s="266"/>
      <c r="J272" s="206"/>
    </row>
    <row r="273" spans="4:10">
      <c r="D273" s="242"/>
      <c r="E273" s="242"/>
      <c r="F273" s="206"/>
      <c r="G273" s="242"/>
      <c r="H273" s="206"/>
      <c r="I273" s="266"/>
      <c r="J273" s="206"/>
    </row>
    <row r="274" spans="4:10">
      <c r="D274" s="242"/>
      <c r="E274" s="242"/>
      <c r="F274" s="206"/>
      <c r="G274" s="242"/>
      <c r="H274" s="206"/>
      <c r="I274" s="266"/>
      <c r="J274" s="206"/>
    </row>
    <row r="275" spans="4:10">
      <c r="D275" s="242"/>
      <c r="E275" s="242"/>
      <c r="F275" s="206"/>
      <c r="G275" s="242"/>
      <c r="H275" s="206"/>
      <c r="I275" s="266"/>
      <c r="J275" s="206"/>
    </row>
    <row r="276" spans="4:10">
      <c r="D276" s="242"/>
      <c r="E276" s="242"/>
      <c r="F276" s="206"/>
      <c r="G276" s="242"/>
      <c r="H276" s="206"/>
      <c r="I276" s="266"/>
      <c r="J276" s="206"/>
    </row>
    <row r="277" spans="4:10">
      <c r="D277" s="242"/>
      <c r="E277" s="242"/>
      <c r="F277" s="206"/>
      <c r="G277" s="242"/>
      <c r="H277" s="206"/>
      <c r="I277" s="266"/>
      <c r="J277" s="206"/>
    </row>
    <row r="278" spans="4:10">
      <c r="D278" s="242"/>
      <c r="E278" s="242"/>
      <c r="F278" s="206"/>
      <c r="G278" s="242"/>
      <c r="H278" s="206"/>
      <c r="I278" s="266"/>
      <c r="J278" s="206"/>
    </row>
    <row r="279" spans="4:10">
      <c r="D279" s="242"/>
      <c r="E279" s="242"/>
      <c r="F279" s="206"/>
      <c r="G279" s="242"/>
      <c r="H279" s="206"/>
      <c r="I279" s="266"/>
      <c r="J279" s="206"/>
    </row>
    <row r="280" spans="4:10">
      <c r="I280" s="267"/>
    </row>
    <row r="281" spans="4:10">
      <c r="I281" s="267"/>
    </row>
    <row r="282" spans="4:10">
      <c r="I282" s="267"/>
    </row>
    <row r="283" spans="4:10">
      <c r="I283" s="267"/>
    </row>
    <row r="284" spans="4:10">
      <c r="I284" s="267"/>
    </row>
    <row r="285" spans="4:10">
      <c r="I285" s="267"/>
    </row>
    <row r="286" spans="4:10">
      <c r="I286" s="267"/>
    </row>
    <row r="287" spans="4:10">
      <c r="I287" s="267"/>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286"/>
  <sheetViews>
    <sheetView view="pageBreakPreview" topLeftCell="A43" zoomScale="130" zoomScaleSheetLayoutView="130" workbookViewId="0">
      <selection activeCell="H65" sqref="H65"/>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41</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Q19</f>
        <v>114.75</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f>R13+R14</f>
        <v>6</v>
      </c>
      <c r="G11" s="167"/>
      <c r="H11" s="176"/>
      <c r="I11" s="163"/>
      <c r="J11" s="176">
        <f>F11*H11</f>
        <v>0</v>
      </c>
      <c r="K11" s="136"/>
      <c r="L11" s="136" t="s">
        <v>458</v>
      </c>
      <c r="N11">
        <v>0</v>
      </c>
      <c r="O11">
        <v>18.23</v>
      </c>
      <c r="P11">
        <v>0</v>
      </c>
      <c r="Q11">
        <v>476.23</v>
      </c>
      <c r="R11">
        <v>452.56</v>
      </c>
      <c r="S11">
        <v>23.66</v>
      </c>
      <c r="T11">
        <v>0</v>
      </c>
      <c r="U11">
        <v>0</v>
      </c>
      <c r="V11">
        <v>0</v>
      </c>
      <c r="W11">
        <v>470.59</v>
      </c>
      <c r="X11">
        <v>333.88</v>
      </c>
      <c r="Y11">
        <v>69.599999999999994</v>
      </c>
      <c r="Z11">
        <v>55.27</v>
      </c>
      <c r="AA11">
        <v>11.84</v>
      </c>
      <c r="AB11">
        <v>333.88</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1</v>
      </c>
      <c r="G13" s="167"/>
      <c r="H13" s="176"/>
      <c r="I13" s="182"/>
      <c r="J13" s="176">
        <f>F13*H13</f>
        <v>0</v>
      </c>
      <c r="K13" s="136"/>
      <c r="L13" s="136" t="s">
        <v>179</v>
      </c>
      <c r="M13" t="s">
        <v>389</v>
      </c>
      <c r="N13">
        <v>1</v>
      </c>
      <c r="O13" t="s">
        <v>390</v>
      </c>
      <c r="P13" t="s">
        <v>391</v>
      </c>
      <c r="Q13">
        <v>1000</v>
      </c>
      <c r="R13">
        <v>3</v>
      </c>
    </row>
    <row r="14" spans="1:28" ht="14.25">
      <c r="A14" s="172"/>
      <c r="B14" s="173"/>
      <c r="C14" s="173"/>
      <c r="D14" s="165"/>
      <c r="E14" s="165"/>
      <c r="F14" s="166"/>
      <c r="G14" s="167"/>
      <c r="H14" s="168"/>
      <c r="I14" s="182"/>
      <c r="J14" s="168"/>
      <c r="K14" s="136"/>
      <c r="L14" s="136" t="s">
        <v>177</v>
      </c>
      <c r="M14" t="s">
        <v>389</v>
      </c>
      <c r="N14">
        <v>11</v>
      </c>
      <c r="O14" t="s">
        <v>392</v>
      </c>
      <c r="P14" t="s">
        <v>391</v>
      </c>
      <c r="Q14">
        <v>1000</v>
      </c>
      <c r="R14">
        <v>3</v>
      </c>
    </row>
    <row r="15" spans="1:28" ht="14.25">
      <c r="A15" s="172" t="s">
        <v>67</v>
      </c>
      <c r="B15" s="173" t="s">
        <v>74</v>
      </c>
      <c r="C15" s="173"/>
      <c r="D15" s="174" t="s">
        <v>190</v>
      </c>
      <c r="E15" s="165"/>
      <c r="F15" s="175">
        <v>1</v>
      </c>
      <c r="G15" s="167"/>
      <c r="H15" s="176"/>
      <c r="I15" s="182"/>
      <c r="J15" s="176">
        <f>F15*H15</f>
        <v>0</v>
      </c>
      <c r="K15" s="136"/>
      <c r="L15" s="136"/>
    </row>
    <row r="16" spans="1:28" ht="14.25">
      <c r="A16" s="172"/>
      <c r="B16" s="173"/>
      <c r="C16" s="173"/>
      <c r="D16" s="165"/>
      <c r="E16" s="165"/>
      <c r="F16" s="166"/>
      <c r="G16" s="167"/>
      <c r="H16" s="168"/>
      <c r="I16" s="182"/>
      <c r="J16" s="168"/>
      <c r="K16" s="136"/>
      <c r="L16" s="136"/>
    </row>
    <row r="17" spans="1:17" ht="15" thickBot="1">
      <c r="A17" s="183"/>
      <c r="B17" s="184" t="s">
        <v>75</v>
      </c>
      <c r="C17" s="184"/>
      <c r="D17" s="185"/>
      <c r="E17" s="185"/>
      <c r="F17" s="186"/>
      <c r="G17" s="185"/>
      <c r="H17" s="187"/>
      <c r="I17" s="188"/>
      <c r="J17" s="189">
        <f>SUM(J9:J15)</f>
        <v>0</v>
      </c>
      <c r="K17" s="136"/>
      <c r="L17" s="136"/>
    </row>
    <row r="18" spans="1:17" ht="15" thickTop="1">
      <c r="A18" s="190"/>
      <c r="B18" s="191"/>
      <c r="C18" s="191"/>
      <c r="D18" s="192"/>
      <c r="E18" s="192"/>
      <c r="F18" s="165"/>
      <c r="G18" s="192"/>
      <c r="H18" s="193"/>
      <c r="I18" s="182"/>
      <c r="J18" s="194"/>
      <c r="K18" s="136"/>
      <c r="L18" s="136" t="s">
        <v>221</v>
      </c>
      <c r="N18" t="s">
        <v>239</v>
      </c>
      <c r="P18" t="s">
        <v>238</v>
      </c>
      <c r="Q18" s="450" t="s">
        <v>394</v>
      </c>
    </row>
    <row r="19" spans="1:17" ht="14.25">
      <c r="A19" s="190"/>
      <c r="B19" s="191"/>
      <c r="C19" s="191"/>
      <c r="D19" s="192"/>
      <c r="E19" s="192"/>
      <c r="F19" s="165"/>
      <c r="G19" s="192"/>
      <c r="H19" s="193"/>
      <c r="I19" s="182"/>
      <c r="J19" s="194"/>
      <c r="K19" s="136"/>
      <c r="L19" s="136" t="s">
        <v>240</v>
      </c>
      <c r="N19">
        <v>311.7</v>
      </c>
      <c r="P19">
        <v>235.4</v>
      </c>
      <c r="Q19">
        <v>114.75</v>
      </c>
    </row>
    <row r="20" spans="1:17" ht="15">
      <c r="A20" s="195" t="s">
        <v>61</v>
      </c>
      <c r="B20" s="196" t="s">
        <v>76</v>
      </c>
      <c r="C20" s="196"/>
      <c r="D20" s="160"/>
      <c r="E20" s="160"/>
      <c r="F20" s="170"/>
      <c r="G20" s="171"/>
      <c r="H20" s="197"/>
      <c r="I20" s="180"/>
      <c r="J20" s="198"/>
      <c r="K20" s="136"/>
      <c r="L20" s="136"/>
    </row>
    <row r="21" spans="1:17" ht="15">
      <c r="A21" s="195"/>
      <c r="B21" s="453" t="s">
        <v>452</v>
      </c>
      <c r="C21" s="196"/>
      <c r="D21" s="160"/>
      <c r="E21" s="160"/>
      <c r="F21" s="170"/>
      <c r="G21" s="171"/>
      <c r="H21" s="197"/>
      <c r="I21" s="180"/>
      <c r="J21" s="198"/>
      <c r="K21" s="136"/>
      <c r="L21" s="136"/>
    </row>
    <row r="22" spans="1:17" ht="15">
      <c r="A22" s="195"/>
      <c r="B22" s="196"/>
      <c r="C22" s="196"/>
      <c r="D22" s="160"/>
      <c r="E22" s="160"/>
      <c r="F22" s="170"/>
      <c r="G22" s="171"/>
      <c r="H22" s="197"/>
      <c r="I22" s="180"/>
      <c r="J22" s="198"/>
      <c r="K22" s="136"/>
      <c r="L22" s="136"/>
    </row>
    <row r="23" spans="1:17" ht="51">
      <c r="A23" s="203" t="s">
        <v>61</v>
      </c>
      <c r="B23" s="204" t="s">
        <v>22</v>
      </c>
      <c r="C23" s="205"/>
      <c r="D23" s="206"/>
      <c r="E23" s="206"/>
      <c r="F23" s="207"/>
      <c r="G23" s="208"/>
      <c r="H23" s="209"/>
      <c r="I23" s="180"/>
      <c r="J23" s="194"/>
      <c r="K23" s="136"/>
      <c r="L23" s="136"/>
    </row>
    <row r="24" spans="1:17" ht="15.75">
      <c r="A24" s="210"/>
      <c r="B24" s="205" t="s">
        <v>78</v>
      </c>
      <c r="C24" s="205"/>
      <c r="D24" s="211" t="s">
        <v>108</v>
      </c>
      <c r="E24" s="206"/>
      <c r="F24" s="212">
        <f>F9*1.4*0.95</f>
        <v>152.61749999999998</v>
      </c>
      <c r="G24" s="208"/>
      <c r="H24" s="213"/>
      <c r="I24" s="180"/>
      <c r="J24" s="202">
        <f>F24*H24</f>
        <v>0</v>
      </c>
      <c r="K24" s="136"/>
      <c r="L24" s="136"/>
    </row>
    <row r="25" spans="1:17" ht="14.25">
      <c r="A25" s="203"/>
      <c r="B25" s="205" t="s">
        <v>79</v>
      </c>
      <c r="C25" s="205"/>
      <c r="D25" s="211" t="s">
        <v>108</v>
      </c>
      <c r="E25" s="206"/>
      <c r="F25" s="212">
        <f>F9*1.4*0.05</f>
        <v>8.0324999999999989</v>
      </c>
      <c r="G25" s="208"/>
      <c r="H25" s="213"/>
      <c r="I25" s="180"/>
      <c r="J25" s="202">
        <f>F25*H25</f>
        <v>0</v>
      </c>
      <c r="K25" s="136"/>
      <c r="L25" s="136"/>
    </row>
    <row r="26" spans="1:17" ht="14.25">
      <c r="A26" s="203"/>
      <c r="B26" s="173"/>
      <c r="C26" s="205"/>
      <c r="D26" s="214"/>
      <c r="E26" s="206"/>
      <c r="F26" s="207"/>
      <c r="G26" s="208"/>
      <c r="H26" s="215"/>
      <c r="I26" s="180"/>
      <c r="J26" s="194"/>
      <c r="K26" s="199"/>
      <c r="L26" s="199"/>
      <c r="N26" s="200"/>
      <c r="O26" s="200"/>
    </row>
    <row r="27" spans="1:17" ht="25.5">
      <c r="A27" s="203" t="s">
        <v>63</v>
      </c>
      <c r="B27" s="205" t="s">
        <v>21</v>
      </c>
      <c r="C27" s="205"/>
      <c r="D27" s="206"/>
      <c r="E27" s="206"/>
      <c r="F27" s="216"/>
      <c r="G27" s="217"/>
      <c r="H27" s="209"/>
      <c r="I27" s="180"/>
      <c r="J27" s="218"/>
      <c r="K27" s="199"/>
      <c r="L27" s="199"/>
      <c r="N27" s="200"/>
      <c r="O27" s="200"/>
    </row>
    <row r="28" spans="1:17" ht="14.25">
      <c r="A28" s="203"/>
      <c r="B28" s="205" t="s">
        <v>23</v>
      </c>
      <c r="C28" s="205"/>
      <c r="D28" s="211" t="s">
        <v>105</v>
      </c>
      <c r="E28" s="206"/>
      <c r="F28" s="220">
        <f>F9*0.8</f>
        <v>91.800000000000011</v>
      </c>
      <c r="G28" s="221"/>
      <c r="H28" s="213"/>
      <c r="I28" s="180"/>
      <c r="J28" s="202">
        <f>F28*H28</f>
        <v>0</v>
      </c>
      <c r="K28" s="199"/>
      <c r="L28" s="199"/>
      <c r="N28" s="200"/>
      <c r="O28" s="200"/>
    </row>
    <row r="29" spans="1:17" ht="14.25">
      <c r="A29" s="172"/>
      <c r="B29" s="173"/>
      <c r="C29" s="173"/>
      <c r="D29" s="165"/>
      <c r="E29" s="160"/>
      <c r="F29" s="222"/>
      <c r="G29" s="223"/>
      <c r="H29" s="215"/>
      <c r="I29" s="180"/>
      <c r="J29" s="194"/>
      <c r="K29" s="199"/>
      <c r="L29" s="199"/>
      <c r="N29" s="200"/>
      <c r="O29" s="200"/>
    </row>
    <row r="30" spans="1:17" ht="51">
      <c r="A30" s="172" t="s">
        <v>67</v>
      </c>
      <c r="B30" s="224" t="s">
        <v>80</v>
      </c>
      <c r="C30" s="225"/>
      <c r="D30" s="174" t="s">
        <v>108</v>
      </c>
      <c r="E30" s="160"/>
      <c r="F30" s="175">
        <f>AA11</f>
        <v>11.84</v>
      </c>
      <c r="G30" s="167"/>
      <c r="H30" s="213"/>
      <c r="I30" s="169"/>
      <c r="J30" s="202">
        <f>F30*H30</f>
        <v>0</v>
      </c>
      <c r="K30" s="200"/>
      <c r="L30" s="199"/>
      <c r="M30" s="200"/>
    </row>
    <row r="31" spans="1:17" ht="14.25">
      <c r="A31" s="172"/>
      <c r="B31" s="224"/>
      <c r="C31" s="225"/>
      <c r="D31" s="160"/>
      <c r="E31" s="160"/>
      <c r="F31" s="166"/>
      <c r="G31" s="167"/>
      <c r="H31" s="215"/>
      <c r="I31" s="169"/>
      <c r="J31" s="194"/>
      <c r="K31" s="200"/>
      <c r="L31" s="199"/>
      <c r="M31" s="200"/>
    </row>
    <row r="32" spans="1:17" ht="38.25">
      <c r="A32" s="172" t="s">
        <v>68</v>
      </c>
      <c r="B32" s="173" t="s">
        <v>24</v>
      </c>
      <c r="C32" s="225"/>
      <c r="D32" s="174" t="s">
        <v>108</v>
      </c>
      <c r="E32" s="160"/>
      <c r="F32" s="175">
        <f>Z11</f>
        <v>55.27</v>
      </c>
      <c r="G32" s="167"/>
      <c r="H32" s="213"/>
      <c r="I32" s="169"/>
      <c r="J32" s="202">
        <f>F32*H32</f>
        <v>0</v>
      </c>
      <c r="K32" s="200"/>
      <c r="L32" s="199"/>
      <c r="M32" s="200"/>
    </row>
    <row r="33" spans="1:15" ht="14.25">
      <c r="A33" s="172"/>
      <c r="B33" s="173"/>
      <c r="C33" s="225"/>
      <c r="D33" s="165"/>
      <c r="E33" s="160"/>
      <c r="F33" s="166"/>
      <c r="G33" s="167"/>
      <c r="H33" s="215"/>
      <c r="I33" s="169"/>
      <c r="J33" s="194"/>
      <c r="K33" s="200"/>
      <c r="L33" s="199"/>
      <c r="M33" s="200"/>
    </row>
    <row r="34" spans="1:15" ht="76.5">
      <c r="A34" s="172" t="s">
        <v>69</v>
      </c>
      <c r="B34" s="224" t="s">
        <v>25</v>
      </c>
      <c r="C34" s="226"/>
      <c r="D34" s="179"/>
      <c r="E34" s="179"/>
      <c r="F34" s="166"/>
      <c r="G34" s="167"/>
      <c r="H34" s="198"/>
      <c r="I34" s="163"/>
      <c r="J34" s="198"/>
      <c r="K34" s="171"/>
      <c r="L34" s="219"/>
      <c r="M34" s="200"/>
    </row>
    <row r="35" spans="1:15" ht="15">
      <c r="A35" s="172"/>
      <c r="B35" s="173" t="s">
        <v>78</v>
      </c>
      <c r="C35" s="173"/>
      <c r="D35" s="174" t="s">
        <v>108</v>
      </c>
      <c r="E35" s="160"/>
      <c r="F35" s="175">
        <f>(F24+F25-F30-F32)*0.95</f>
        <v>88.862999999999957</v>
      </c>
      <c r="G35" s="167"/>
      <c r="H35" s="213"/>
      <c r="I35" s="163"/>
      <c r="J35" s="202">
        <f>F35*H35</f>
        <v>0</v>
      </c>
      <c r="K35" s="171"/>
      <c r="L35" s="219"/>
      <c r="M35" s="200"/>
    </row>
    <row r="36" spans="1:15" ht="14.25">
      <c r="A36" s="172"/>
      <c r="B36" s="173" t="s">
        <v>79</v>
      </c>
      <c r="C36" s="173"/>
      <c r="D36" s="174" t="s">
        <v>108</v>
      </c>
      <c r="E36" s="160"/>
      <c r="F36" s="181">
        <f>(F24+F25-F30-F32)*0.05</f>
        <v>4.6769999999999987</v>
      </c>
      <c r="G36" s="167"/>
      <c r="H36" s="213"/>
      <c r="I36" s="163"/>
      <c r="J36" s="202">
        <f>F36*H36</f>
        <v>0</v>
      </c>
      <c r="K36" s="199"/>
      <c r="L36" s="199"/>
      <c r="M36" s="200"/>
      <c r="N36" s="200"/>
      <c r="O36" s="200"/>
    </row>
    <row r="37" spans="1:15" ht="14.25">
      <c r="A37" s="172"/>
      <c r="B37" s="173"/>
      <c r="C37" s="173"/>
      <c r="D37" s="165"/>
      <c r="E37" s="160"/>
      <c r="F37" s="166"/>
      <c r="G37" s="167"/>
      <c r="H37" s="215"/>
      <c r="I37" s="163"/>
      <c r="J37" s="194"/>
      <c r="K37" s="199"/>
      <c r="L37" s="199"/>
      <c r="M37" s="200"/>
      <c r="N37" s="200"/>
      <c r="O37" s="200"/>
    </row>
    <row r="38" spans="1:15" ht="25.5">
      <c r="A38" s="172" t="s">
        <v>72</v>
      </c>
      <c r="B38" s="228" t="s">
        <v>27</v>
      </c>
      <c r="C38" s="226"/>
      <c r="D38" s="174" t="s">
        <v>108</v>
      </c>
      <c r="E38" s="160"/>
      <c r="F38" s="175">
        <f>F24+F25-F35-F36</f>
        <v>67.110000000000028</v>
      </c>
      <c r="G38" s="167"/>
      <c r="H38" s="213"/>
      <c r="I38" s="163"/>
      <c r="J38" s="202">
        <f>F38*H38</f>
        <v>0</v>
      </c>
      <c r="K38" s="199"/>
      <c r="L38" s="199"/>
      <c r="M38" s="200"/>
      <c r="N38" s="200"/>
      <c r="O38" s="200"/>
    </row>
    <row r="39" spans="1:15">
      <c r="A39" s="172"/>
      <c r="B39" s="228"/>
      <c r="C39" s="226"/>
      <c r="D39" s="165"/>
      <c r="E39" s="160"/>
      <c r="F39" s="166"/>
      <c r="G39" s="167"/>
      <c r="H39" s="215"/>
      <c r="I39" s="163"/>
      <c r="J39" s="194"/>
      <c r="K39" s="217"/>
      <c r="L39" s="200"/>
      <c r="M39" s="200"/>
      <c r="N39" s="200"/>
      <c r="O39" s="200"/>
    </row>
    <row r="40" spans="1:15" ht="13.5" thickBot="1">
      <c r="A40" s="183"/>
      <c r="B40" s="232" t="s">
        <v>28</v>
      </c>
      <c r="C40" s="232"/>
      <c r="D40" s="233"/>
      <c r="E40" s="233"/>
      <c r="F40" s="234"/>
      <c r="G40" s="235"/>
      <c r="H40" s="189"/>
      <c r="I40" s="236"/>
      <c r="J40" s="189">
        <f>SUM(J22:J39)</f>
        <v>0</v>
      </c>
      <c r="K40" s="217"/>
      <c r="L40" s="200"/>
      <c r="M40" s="200"/>
      <c r="N40" s="200"/>
      <c r="O40" s="200"/>
    </row>
    <row r="41" spans="1:15" ht="13.5" thickTop="1">
      <c r="A41" s="190"/>
      <c r="B41" s="237"/>
      <c r="C41" s="237"/>
      <c r="D41" s="238"/>
      <c r="E41" s="238"/>
      <c r="F41" s="166"/>
      <c r="G41" s="167"/>
      <c r="H41" s="194"/>
      <c r="I41" s="169"/>
      <c r="J41" s="194"/>
      <c r="K41" s="217"/>
      <c r="L41" s="200"/>
      <c r="M41" s="200"/>
      <c r="N41" s="200"/>
      <c r="O41" s="200"/>
    </row>
    <row r="42" spans="1:15">
      <c r="A42" s="190"/>
      <c r="B42" s="237"/>
      <c r="C42" s="237"/>
      <c r="D42" s="238"/>
      <c r="E42" s="238"/>
      <c r="F42" s="166"/>
      <c r="G42" s="167"/>
      <c r="H42" s="194"/>
      <c r="I42" s="169"/>
      <c r="J42" s="194"/>
      <c r="K42" s="217"/>
      <c r="L42" s="200"/>
      <c r="M42" s="200"/>
      <c r="N42" s="200"/>
      <c r="O42" s="200"/>
    </row>
    <row r="43" spans="1:15" ht="15">
      <c r="A43" s="195" t="s">
        <v>63</v>
      </c>
      <c r="B43" s="239" t="s">
        <v>29</v>
      </c>
      <c r="C43" s="239"/>
      <c r="D43" s="160"/>
      <c r="E43" s="160"/>
      <c r="F43" s="170"/>
      <c r="G43" s="171"/>
      <c r="H43" s="198"/>
      <c r="I43" s="163"/>
      <c r="J43" s="198"/>
      <c r="K43" s="217"/>
      <c r="L43" s="200"/>
      <c r="M43" s="200"/>
      <c r="N43" s="200"/>
      <c r="O43" s="200"/>
    </row>
    <row r="44" spans="1:15" ht="15">
      <c r="A44" s="195"/>
      <c r="B44" s="239"/>
      <c r="C44" s="239"/>
      <c r="D44" s="160"/>
      <c r="E44" s="160"/>
      <c r="F44" s="170"/>
      <c r="G44" s="171"/>
      <c r="H44" s="198"/>
      <c r="I44" s="163"/>
      <c r="J44" s="198"/>
      <c r="K44" s="217"/>
      <c r="L44" s="200"/>
      <c r="M44" s="200"/>
    </row>
    <row r="45" spans="1:15" ht="38.25">
      <c r="A45" s="172" t="s">
        <v>58</v>
      </c>
      <c r="B45" s="226" t="s">
        <v>396</v>
      </c>
      <c r="C45" s="226"/>
      <c r="D45" s="174" t="s">
        <v>60</v>
      </c>
      <c r="E45" s="160"/>
      <c r="F45" s="240">
        <f>Q19</f>
        <v>114.75</v>
      </c>
      <c r="G45" s="223"/>
      <c r="H45" s="213"/>
      <c r="I45" s="163"/>
      <c r="J45" s="202">
        <f>F45*H45</f>
        <v>0</v>
      </c>
      <c r="K45" s="217"/>
      <c r="L45" s="200"/>
      <c r="M45" s="200"/>
      <c r="N45" s="200"/>
      <c r="O45" s="200"/>
    </row>
    <row r="46" spans="1:15">
      <c r="A46" s="172"/>
      <c r="B46" s="226"/>
      <c r="C46" s="226"/>
      <c r="D46" s="160"/>
      <c r="E46" s="160"/>
      <c r="F46" s="170"/>
      <c r="G46" s="171"/>
      <c r="H46" s="198"/>
      <c r="I46" s="163"/>
      <c r="J46" s="198"/>
      <c r="K46" s="217"/>
      <c r="L46" s="200"/>
      <c r="M46" s="200"/>
      <c r="N46" s="200"/>
      <c r="O46" s="200"/>
    </row>
    <row r="47" spans="1:15">
      <c r="A47" s="172"/>
      <c r="B47" s="226"/>
      <c r="C47" s="226"/>
      <c r="D47" s="160"/>
      <c r="E47" s="160"/>
      <c r="F47" s="170"/>
      <c r="G47" s="171"/>
      <c r="H47" s="198"/>
      <c r="I47" s="163"/>
      <c r="J47" s="198"/>
      <c r="K47" s="217"/>
      <c r="L47" s="200"/>
      <c r="M47" s="200"/>
      <c r="N47" s="200"/>
      <c r="O47" s="200"/>
    </row>
    <row r="48" spans="1:15" ht="51">
      <c r="A48" s="172" t="s">
        <v>63</v>
      </c>
      <c r="B48" s="241" t="s">
        <v>398</v>
      </c>
      <c r="C48" s="241"/>
      <c r="D48" s="165"/>
      <c r="E48" s="165"/>
      <c r="F48" s="166"/>
      <c r="G48" s="167"/>
      <c r="H48" s="198"/>
      <c r="I48" s="163"/>
      <c r="J48" s="198"/>
      <c r="K48" s="217"/>
      <c r="L48" s="200"/>
      <c r="M48" s="200"/>
      <c r="N48" s="200"/>
      <c r="O48" s="200"/>
    </row>
    <row r="49" spans="1:15">
      <c r="A49" s="172"/>
      <c r="B49" s="241"/>
      <c r="C49" s="241"/>
      <c r="D49" s="174" t="s">
        <v>190</v>
      </c>
      <c r="E49" s="165"/>
      <c r="F49" s="175">
        <f>R13</f>
        <v>3</v>
      </c>
      <c r="G49" s="167"/>
      <c r="H49" s="213"/>
      <c r="I49" s="163"/>
      <c r="J49" s="202">
        <f>F49*H49</f>
        <v>0</v>
      </c>
      <c r="K49" s="217"/>
      <c r="L49" s="200"/>
      <c r="M49" s="200"/>
      <c r="N49" s="200"/>
      <c r="O49" s="200"/>
    </row>
    <row r="50" spans="1:15">
      <c r="A50" s="172"/>
      <c r="B50" s="241"/>
      <c r="C50" s="241"/>
      <c r="D50" s="160"/>
      <c r="E50" s="160"/>
      <c r="F50" s="170"/>
      <c r="G50" s="171"/>
      <c r="H50" s="198"/>
      <c r="I50" s="163"/>
      <c r="J50" s="198"/>
      <c r="K50" s="217"/>
      <c r="L50" s="200"/>
      <c r="M50" s="200"/>
      <c r="N50" s="200"/>
      <c r="O50" s="200"/>
    </row>
    <row r="51" spans="1:15" ht="51">
      <c r="A51" s="172" t="s">
        <v>67</v>
      </c>
      <c r="B51" s="241" t="s">
        <v>397</v>
      </c>
      <c r="C51" s="241"/>
      <c r="D51" s="165"/>
      <c r="E51" s="165"/>
      <c r="F51" s="166"/>
      <c r="G51" s="167"/>
      <c r="H51" s="198"/>
      <c r="I51" s="163"/>
      <c r="J51" s="198"/>
      <c r="K51" s="217"/>
      <c r="L51" s="200"/>
      <c r="M51" s="200"/>
      <c r="N51" s="200"/>
      <c r="O51" s="200"/>
    </row>
    <row r="52" spans="1:15">
      <c r="A52" s="172"/>
      <c r="B52" s="241"/>
      <c r="C52" s="241"/>
      <c r="D52" s="174" t="s">
        <v>190</v>
      </c>
      <c r="E52" s="165"/>
      <c r="F52" s="175">
        <f>R14</f>
        <v>3</v>
      </c>
      <c r="G52" s="167"/>
      <c r="H52" s="213"/>
      <c r="I52" s="163"/>
      <c r="J52" s="202">
        <f>F52*H52</f>
        <v>0</v>
      </c>
      <c r="K52" s="217"/>
      <c r="L52" s="200"/>
      <c r="M52" s="200"/>
      <c r="N52" s="200"/>
      <c r="O52" s="200"/>
    </row>
    <row r="53" spans="1:15">
      <c r="A53" s="172"/>
      <c r="B53" s="241"/>
      <c r="C53" s="241"/>
      <c r="D53" s="160"/>
      <c r="E53" s="160"/>
      <c r="F53" s="170"/>
      <c r="G53" s="171"/>
      <c r="H53" s="198"/>
      <c r="I53" s="163"/>
      <c r="J53" s="198"/>
      <c r="K53" s="217"/>
      <c r="L53" s="200"/>
      <c r="M53" s="200"/>
      <c r="N53" s="200"/>
      <c r="O53" s="200"/>
    </row>
    <row r="54" spans="1:15" ht="13.5" thickBot="1">
      <c r="A54" s="243"/>
      <c r="B54" s="244" t="s">
        <v>30</v>
      </c>
      <c r="C54" s="244"/>
      <c r="D54" s="186"/>
      <c r="E54" s="186"/>
      <c r="F54" s="234"/>
      <c r="G54" s="235"/>
      <c r="H54" s="189"/>
      <c r="I54" s="236"/>
      <c r="J54" s="189">
        <f>SUM(J45:J52)</f>
        <v>0</v>
      </c>
      <c r="K54" s="217"/>
      <c r="L54" s="200"/>
      <c r="M54" s="200"/>
      <c r="N54" s="200"/>
      <c r="O54" s="200"/>
    </row>
    <row r="55" spans="1:15" ht="13.5" thickTop="1">
      <c r="A55" s="245"/>
      <c r="B55" s="246"/>
      <c r="C55" s="246"/>
      <c r="D55" s="165"/>
      <c r="E55" s="165"/>
      <c r="F55" s="166"/>
      <c r="G55" s="167"/>
      <c r="H55" s="194"/>
      <c r="I55" s="169"/>
      <c r="J55" s="194"/>
      <c r="K55" s="242"/>
    </row>
    <row r="56" spans="1:15" ht="15.75">
      <c r="A56" s="247" t="s">
        <v>67</v>
      </c>
      <c r="B56" s="248" t="s">
        <v>31</v>
      </c>
      <c r="C56" s="248"/>
      <c r="D56" s="192"/>
      <c r="E56" s="192"/>
      <c r="F56" s="166"/>
      <c r="G56" s="167"/>
      <c r="H56" s="150"/>
      <c r="I56" s="163"/>
      <c r="J56" s="198"/>
      <c r="K56" s="242"/>
    </row>
    <row r="57" spans="1:15">
      <c r="A57" s="172"/>
      <c r="B57" s="249"/>
      <c r="C57" s="249"/>
      <c r="D57" s="250"/>
      <c r="E57" s="250"/>
      <c r="F57" s="170"/>
      <c r="G57" s="171"/>
      <c r="H57" s="150"/>
      <c r="I57" s="163"/>
      <c r="J57" s="198"/>
      <c r="K57" s="242"/>
    </row>
    <row r="58" spans="1:15" ht="25.5">
      <c r="A58" s="172" t="s">
        <v>58</v>
      </c>
      <c r="B58" s="173" t="s">
        <v>32</v>
      </c>
      <c r="C58" s="173"/>
      <c r="D58" s="251" t="s">
        <v>60</v>
      </c>
      <c r="E58" s="179"/>
      <c r="F58" s="175">
        <f>F9</f>
        <v>114.75</v>
      </c>
      <c r="G58" s="167"/>
      <c r="H58" s="213"/>
      <c r="I58" s="163"/>
      <c r="J58" s="202">
        <f>F58*H58</f>
        <v>0</v>
      </c>
      <c r="K58" s="242"/>
    </row>
    <row r="59" spans="1:15">
      <c r="A59" s="172"/>
      <c r="B59" s="173"/>
      <c r="C59" s="173"/>
      <c r="D59" s="179"/>
      <c r="E59" s="179"/>
      <c r="F59" s="170"/>
      <c r="G59" s="171"/>
      <c r="H59" s="150"/>
      <c r="I59" s="163"/>
      <c r="J59" s="198"/>
      <c r="K59" s="242"/>
    </row>
    <row r="60" spans="1:15">
      <c r="A60" s="172" t="s">
        <v>67</v>
      </c>
      <c r="B60" s="173" t="s">
        <v>33</v>
      </c>
      <c r="C60" s="173"/>
      <c r="D60" s="251" t="s">
        <v>60</v>
      </c>
      <c r="E60" s="179"/>
      <c r="F60" s="175">
        <f>F9</f>
        <v>114.75</v>
      </c>
      <c r="G60" s="167"/>
      <c r="H60" s="213"/>
      <c r="I60" s="163"/>
      <c r="J60" s="202">
        <f>F60*H60</f>
        <v>0</v>
      </c>
      <c r="K60" s="242"/>
    </row>
    <row r="61" spans="1:15">
      <c r="A61" s="172"/>
      <c r="B61" s="173"/>
      <c r="C61" s="173"/>
      <c r="D61" s="179"/>
      <c r="E61" s="179"/>
      <c r="F61" s="170"/>
      <c r="G61" s="171"/>
      <c r="H61" s="150"/>
      <c r="I61" s="163"/>
      <c r="J61" s="198"/>
      <c r="K61" s="242"/>
    </row>
    <row r="62" spans="1:15">
      <c r="A62" s="172" t="s">
        <v>68</v>
      </c>
      <c r="B62" s="173" t="s">
        <v>34</v>
      </c>
      <c r="C62" s="173"/>
      <c r="D62" s="251" t="s">
        <v>190</v>
      </c>
      <c r="E62" s="179"/>
      <c r="F62" s="175">
        <f>F49+F52</f>
        <v>6</v>
      </c>
      <c r="G62" s="167"/>
      <c r="H62" s="213"/>
      <c r="I62" s="163"/>
      <c r="J62" s="202">
        <f>F62*H62</f>
        <v>0</v>
      </c>
      <c r="K62" s="242"/>
    </row>
    <row r="63" spans="1:15">
      <c r="A63" s="172"/>
      <c r="B63" s="173"/>
      <c r="C63" s="173"/>
      <c r="D63" s="179"/>
      <c r="E63" s="179"/>
      <c r="F63" s="170"/>
      <c r="G63" s="171"/>
      <c r="H63" s="150"/>
      <c r="I63" s="163"/>
      <c r="J63" s="198"/>
      <c r="K63" s="242"/>
    </row>
    <row r="64" spans="1:15" ht="25.5">
      <c r="A64" s="172" t="s">
        <v>69</v>
      </c>
      <c r="B64" s="173" t="s">
        <v>35</v>
      </c>
      <c r="C64" s="173"/>
      <c r="D64" s="251" t="s">
        <v>60</v>
      </c>
      <c r="E64" s="179"/>
      <c r="F64" s="175">
        <f>F9</f>
        <v>114.75</v>
      </c>
      <c r="G64" s="167"/>
      <c r="H64" s="213"/>
      <c r="I64" s="163"/>
      <c r="J64" s="202">
        <f>F64*H64</f>
        <v>0</v>
      </c>
      <c r="K64" s="242"/>
    </row>
    <row r="65" spans="1:11">
      <c r="A65" s="172"/>
      <c r="B65" s="173"/>
      <c r="C65" s="173"/>
      <c r="D65" s="179"/>
      <c r="E65" s="179"/>
      <c r="F65" s="170"/>
      <c r="G65" s="171"/>
      <c r="H65" s="150"/>
      <c r="I65" s="163"/>
      <c r="J65" s="198"/>
      <c r="K65" s="242"/>
    </row>
    <row r="66" spans="1:11" ht="13.5" thickBot="1">
      <c r="A66" s="183"/>
      <c r="B66" s="252" t="s">
        <v>36</v>
      </c>
      <c r="C66" s="252"/>
      <c r="D66" s="253"/>
      <c r="E66" s="253"/>
      <c r="F66" s="234"/>
      <c r="G66" s="235"/>
      <c r="H66" s="254"/>
      <c r="I66" s="236"/>
      <c r="J66" s="189">
        <f>SUM(J58:J64)</f>
        <v>0</v>
      </c>
      <c r="K66" s="242"/>
    </row>
    <row r="67" spans="1:11" ht="13.5" thickTop="1">
      <c r="A67" s="190"/>
      <c r="B67" s="255"/>
      <c r="C67" s="255"/>
      <c r="D67" s="256"/>
      <c r="E67" s="256"/>
      <c r="F67" s="166"/>
      <c r="G67" s="167"/>
      <c r="H67" s="168"/>
      <c r="I67" s="169"/>
      <c r="J67" s="194"/>
      <c r="K67" s="242"/>
    </row>
    <row r="68" spans="1:11">
      <c r="A68" s="190"/>
      <c r="B68" s="255"/>
      <c r="C68" s="255"/>
      <c r="D68" s="256"/>
      <c r="E68" s="256"/>
      <c r="F68" s="166"/>
      <c r="G68" s="167"/>
      <c r="H68" s="168"/>
      <c r="I68" s="169"/>
      <c r="J68" s="194"/>
      <c r="K68" s="242"/>
    </row>
    <row r="69" spans="1:11">
      <c r="A69" s="190"/>
      <c r="B69" s="255"/>
      <c r="C69" s="255"/>
      <c r="D69" s="256"/>
      <c r="E69" s="256"/>
      <c r="F69" s="166"/>
      <c r="G69" s="167"/>
      <c r="H69" s="150"/>
      <c r="I69" s="163"/>
      <c r="J69" s="198"/>
      <c r="K69" s="242"/>
    </row>
    <row r="70" spans="1:11">
      <c r="A70" s="190"/>
      <c r="B70" s="255"/>
      <c r="C70" s="255"/>
      <c r="D70" s="256"/>
      <c r="E70" s="256"/>
      <c r="F70" s="166"/>
      <c r="G70" s="167"/>
      <c r="H70" s="150"/>
      <c r="I70" s="163"/>
      <c r="J70" s="198"/>
      <c r="K70" s="242"/>
    </row>
    <row r="71" spans="1:11">
      <c r="A71" s="190"/>
      <c r="B71" s="255"/>
      <c r="C71" s="255"/>
      <c r="D71" s="256"/>
      <c r="E71" s="256"/>
      <c r="F71" s="166"/>
      <c r="G71" s="167"/>
      <c r="H71" s="150"/>
      <c r="I71" s="163"/>
      <c r="J71" s="198"/>
      <c r="K71" s="242"/>
    </row>
    <row r="72" spans="1:11">
      <c r="A72" s="190"/>
      <c r="B72" s="255"/>
      <c r="C72" s="255"/>
      <c r="D72" s="256"/>
      <c r="E72" s="256"/>
      <c r="F72" s="166"/>
      <c r="G72" s="167"/>
      <c r="H72" s="150"/>
      <c r="I72" s="163"/>
      <c r="J72" s="198"/>
      <c r="K72" s="242"/>
    </row>
    <row r="73" spans="1:11">
      <c r="A73" s="190"/>
      <c r="B73" s="255"/>
      <c r="C73" s="255"/>
      <c r="D73" s="256"/>
      <c r="E73" s="256"/>
      <c r="F73" s="166"/>
      <c r="G73" s="167"/>
      <c r="H73" s="150"/>
      <c r="I73" s="163"/>
      <c r="J73" s="198"/>
      <c r="K73" s="242"/>
    </row>
    <row r="74" spans="1:11">
      <c r="A74" s="190"/>
      <c r="B74" s="255"/>
      <c r="C74" s="255"/>
      <c r="D74" s="256"/>
      <c r="E74" s="256"/>
      <c r="F74" s="166"/>
      <c r="G74" s="167"/>
      <c r="H74" s="150"/>
      <c r="I74" s="163"/>
      <c r="J74" s="198"/>
      <c r="K74" s="242"/>
    </row>
    <row r="75" spans="1:11">
      <c r="A75" s="190"/>
      <c r="B75" s="255"/>
      <c r="C75" s="255"/>
      <c r="D75" s="256"/>
      <c r="E75" s="256"/>
      <c r="F75" s="166"/>
      <c r="G75" s="167"/>
      <c r="H75" s="150"/>
      <c r="I75" s="163"/>
      <c r="J75" s="198"/>
      <c r="K75" s="242"/>
    </row>
    <row r="76" spans="1:11">
      <c r="A76" s="172"/>
      <c r="B76" s="258"/>
      <c r="C76" s="258"/>
      <c r="D76" s="257"/>
      <c r="E76" s="257"/>
      <c r="F76" s="170"/>
      <c r="G76" s="171"/>
      <c r="H76" s="150"/>
      <c r="I76" s="163"/>
      <c r="J76" s="198"/>
      <c r="K76" s="242"/>
    </row>
    <row r="77" spans="1:11">
      <c r="B77" s="242"/>
      <c r="C77" s="242"/>
      <c r="D77" s="242"/>
      <c r="E77" s="242"/>
      <c r="F77" s="206"/>
      <c r="G77" s="242"/>
      <c r="H77" s="260"/>
      <c r="I77" s="261"/>
      <c r="J77" s="262"/>
      <c r="K77" s="242"/>
    </row>
    <row r="78" spans="1:11">
      <c r="B78" s="242"/>
      <c r="C78" s="242"/>
      <c r="D78" s="242"/>
      <c r="E78" s="242"/>
      <c r="F78" s="206"/>
      <c r="G78" s="242"/>
      <c r="H78" s="260"/>
      <c r="I78" s="261"/>
      <c r="J78" s="262"/>
      <c r="K78" s="242"/>
    </row>
    <row r="79" spans="1:11">
      <c r="B79" s="242"/>
      <c r="C79" s="242"/>
      <c r="D79" s="242"/>
      <c r="E79" s="242"/>
      <c r="F79" s="206"/>
      <c r="G79" s="242"/>
      <c r="H79" s="260"/>
      <c r="I79" s="261"/>
      <c r="J79" s="262"/>
      <c r="K79" s="242"/>
    </row>
    <row r="80" spans="1:11">
      <c r="B80" s="242"/>
      <c r="C80" s="242"/>
      <c r="D80" s="242"/>
      <c r="E80" s="242"/>
      <c r="F80" s="206"/>
      <c r="G80" s="242"/>
      <c r="H80" s="260"/>
      <c r="I80" s="261"/>
      <c r="J80" s="262"/>
      <c r="K80" s="242"/>
    </row>
    <row r="81" spans="2:18">
      <c r="B81" s="242"/>
      <c r="C81" s="242"/>
      <c r="D81" s="242"/>
      <c r="E81" s="242"/>
      <c r="F81" s="206"/>
      <c r="G81" s="242"/>
      <c r="H81" s="260"/>
      <c r="I81" s="261"/>
      <c r="J81" s="262"/>
      <c r="K81" s="242"/>
      <c r="Q81" s="259"/>
      <c r="R81" s="259"/>
    </row>
    <row r="82" spans="2:18">
      <c r="B82" s="242"/>
      <c r="C82" s="242"/>
      <c r="D82" s="242"/>
      <c r="E82" s="242"/>
      <c r="F82" s="206"/>
      <c r="G82" s="242"/>
      <c r="H82" s="260"/>
      <c r="I82" s="261"/>
      <c r="J82" s="262"/>
      <c r="K82" s="242"/>
      <c r="Q82" s="259"/>
      <c r="R82" s="259"/>
    </row>
    <row r="83" spans="2:18">
      <c r="B83" s="242"/>
      <c r="C83" s="242"/>
      <c r="D83" s="242"/>
      <c r="E83" s="242"/>
      <c r="F83" s="206"/>
      <c r="G83" s="242"/>
      <c r="H83" s="260"/>
      <c r="I83" s="261"/>
      <c r="J83" s="262"/>
      <c r="K83" s="242"/>
      <c r="Q83" s="259"/>
      <c r="R83" s="259"/>
    </row>
    <row r="84" spans="2:18">
      <c r="B84" s="242"/>
      <c r="C84" s="242"/>
      <c r="D84" s="242"/>
      <c r="E84" s="242"/>
      <c r="F84" s="206"/>
      <c r="G84" s="242"/>
      <c r="H84" s="260"/>
      <c r="I84" s="261"/>
      <c r="J84" s="262"/>
      <c r="K84" s="242"/>
      <c r="Q84" s="259"/>
      <c r="R84" s="259"/>
    </row>
    <row r="85" spans="2:18">
      <c r="B85" s="242"/>
      <c r="C85" s="242"/>
      <c r="D85" s="242"/>
      <c r="E85" s="242"/>
      <c r="F85" s="206"/>
      <c r="G85" s="242"/>
      <c r="H85" s="260"/>
      <c r="I85" s="261"/>
      <c r="J85" s="262"/>
      <c r="K85" s="242"/>
      <c r="Q85" s="259"/>
      <c r="R85" s="259"/>
    </row>
    <row r="86" spans="2:18">
      <c r="B86" s="242"/>
      <c r="C86" s="242"/>
      <c r="D86" s="242"/>
      <c r="E86" s="242"/>
      <c r="F86" s="206"/>
      <c r="G86" s="242"/>
      <c r="H86" s="260"/>
      <c r="I86" s="261"/>
      <c r="J86" s="262"/>
      <c r="K86" s="242"/>
      <c r="Q86" s="259"/>
      <c r="R86" s="259"/>
    </row>
    <row r="87" spans="2:18">
      <c r="B87" s="242"/>
      <c r="C87" s="242"/>
      <c r="D87" s="242"/>
      <c r="E87" s="242"/>
      <c r="F87" s="206"/>
      <c r="G87" s="242"/>
      <c r="H87" s="260"/>
      <c r="I87" s="261"/>
      <c r="J87" s="262"/>
      <c r="K87" s="242"/>
      <c r="Q87" s="259"/>
      <c r="R87" s="259"/>
    </row>
    <row r="88" spans="2:18">
      <c r="B88" s="242"/>
      <c r="C88" s="242"/>
      <c r="D88" s="242"/>
      <c r="E88" s="242"/>
      <c r="F88" s="206"/>
      <c r="G88" s="242"/>
      <c r="H88" s="260"/>
      <c r="I88" s="261"/>
      <c r="J88" s="262"/>
      <c r="K88" s="242"/>
      <c r="Q88" s="259"/>
      <c r="R88" s="259"/>
    </row>
    <row r="89" spans="2:18">
      <c r="B89" s="242"/>
      <c r="C89" s="242"/>
      <c r="D89" s="242"/>
      <c r="E89" s="242"/>
      <c r="F89" s="206"/>
      <c r="G89" s="242"/>
      <c r="H89" s="260"/>
      <c r="I89" s="261"/>
      <c r="J89" s="262"/>
      <c r="K89" s="242"/>
      <c r="Q89" s="259"/>
      <c r="R89" s="259"/>
    </row>
    <row r="90" spans="2:18">
      <c r="B90" s="242"/>
      <c r="C90" s="242"/>
      <c r="D90" s="242"/>
      <c r="E90" s="242"/>
      <c r="F90" s="206"/>
      <c r="G90" s="242"/>
      <c r="H90" s="260"/>
      <c r="I90" s="261"/>
      <c r="J90" s="262"/>
      <c r="K90" s="242"/>
      <c r="Q90" s="259"/>
      <c r="R90" s="259"/>
    </row>
    <row r="91" spans="2:18">
      <c r="B91" s="242"/>
      <c r="C91" s="242"/>
      <c r="D91" s="242"/>
      <c r="E91" s="242"/>
      <c r="F91" s="206"/>
      <c r="G91" s="242"/>
      <c r="H91" s="260"/>
      <c r="I91" s="261"/>
      <c r="J91" s="262"/>
      <c r="K91" s="263"/>
      <c r="L91" s="263"/>
      <c r="M91" s="264"/>
      <c r="Q91" s="259"/>
      <c r="R91" s="259"/>
    </row>
    <row r="92" spans="2:18">
      <c r="B92" s="242"/>
      <c r="C92" s="242"/>
      <c r="D92" s="242"/>
      <c r="E92" s="242"/>
      <c r="F92" s="206"/>
      <c r="G92" s="242"/>
      <c r="H92" s="260"/>
      <c r="I92" s="261"/>
      <c r="J92" s="262"/>
      <c r="K92" s="265"/>
      <c r="L92" s="265"/>
      <c r="M92" s="264"/>
    </row>
    <row r="93" spans="2:18">
      <c r="B93" s="242"/>
      <c r="C93" s="242"/>
      <c r="D93" s="242"/>
      <c r="E93" s="242"/>
      <c r="F93" s="206"/>
      <c r="G93" s="242"/>
      <c r="H93" s="260"/>
      <c r="I93" s="261"/>
      <c r="J93" s="262"/>
      <c r="K93" s="261"/>
      <c r="L93" s="261"/>
      <c r="M93" s="264"/>
    </row>
    <row r="94" spans="2:18">
      <c r="B94" s="242"/>
      <c r="C94" s="242"/>
      <c r="D94" s="242"/>
      <c r="E94" s="242"/>
      <c r="F94" s="206"/>
      <c r="G94" s="242"/>
      <c r="H94" s="260"/>
      <c r="I94" s="261"/>
      <c r="J94" s="262"/>
      <c r="K94" s="242"/>
    </row>
    <row r="95" spans="2:18">
      <c r="B95" s="242"/>
      <c r="C95" s="242"/>
      <c r="D95" s="242"/>
      <c r="E95" s="242"/>
      <c r="F95" s="206"/>
      <c r="G95" s="242"/>
      <c r="H95" s="260"/>
      <c r="I95" s="261"/>
      <c r="J95" s="262"/>
      <c r="K95" s="242"/>
    </row>
    <row r="96" spans="2:18">
      <c r="B96" s="242"/>
      <c r="C96" s="242"/>
      <c r="D96" s="242"/>
      <c r="E96" s="242"/>
      <c r="F96" s="206"/>
      <c r="G96" s="242"/>
      <c r="H96" s="260"/>
      <c r="I96" s="261"/>
      <c r="J96" s="262"/>
      <c r="K96" s="242"/>
    </row>
    <row r="97" spans="2:11">
      <c r="B97" s="242"/>
      <c r="C97" s="242"/>
      <c r="D97" s="242"/>
      <c r="E97" s="242"/>
      <c r="F97" s="206"/>
      <c r="G97" s="242"/>
      <c r="H97" s="260"/>
      <c r="I97" s="261"/>
      <c r="J97" s="262"/>
      <c r="K97" s="242"/>
    </row>
    <row r="98" spans="2:11">
      <c r="B98" s="242"/>
      <c r="C98" s="242"/>
      <c r="D98" s="242"/>
      <c r="E98" s="242"/>
      <c r="F98" s="206"/>
      <c r="G98" s="242"/>
      <c r="H98" s="260"/>
      <c r="I98" s="261"/>
      <c r="J98" s="262"/>
      <c r="K98" s="242"/>
    </row>
    <row r="99" spans="2:11">
      <c r="B99" s="242"/>
      <c r="C99" s="242"/>
      <c r="D99" s="242"/>
      <c r="E99" s="242"/>
      <c r="F99" s="206"/>
      <c r="G99" s="242"/>
      <c r="H99" s="260"/>
      <c r="I99" s="261"/>
      <c r="J99" s="262"/>
      <c r="K99" s="242"/>
    </row>
    <row r="100" spans="2:11">
      <c r="B100" s="242"/>
      <c r="C100" s="242"/>
      <c r="D100" s="242"/>
      <c r="E100" s="242"/>
      <c r="F100" s="206"/>
      <c r="G100" s="242"/>
      <c r="H100" s="260"/>
      <c r="I100" s="261"/>
      <c r="J100" s="262"/>
      <c r="K100" s="242"/>
    </row>
    <row r="101" spans="2:11">
      <c r="B101" s="242"/>
      <c r="C101" s="242"/>
      <c r="D101" s="242"/>
      <c r="E101" s="242"/>
      <c r="F101" s="206"/>
      <c r="G101" s="242"/>
      <c r="H101" s="260"/>
      <c r="I101" s="261"/>
      <c r="J101" s="262"/>
      <c r="K101" s="242"/>
    </row>
    <row r="102" spans="2:11">
      <c r="B102" s="242"/>
      <c r="C102" s="242"/>
      <c r="D102" s="242"/>
      <c r="E102" s="242"/>
      <c r="F102" s="206"/>
      <c r="G102" s="242"/>
      <c r="H102" s="260"/>
      <c r="I102" s="261"/>
      <c r="J102" s="262"/>
      <c r="K102" s="242"/>
    </row>
    <row r="103" spans="2:11">
      <c r="B103" s="242"/>
      <c r="C103" s="242"/>
      <c r="D103" s="242"/>
      <c r="E103" s="242"/>
      <c r="F103" s="206"/>
      <c r="G103" s="242"/>
      <c r="H103" s="260"/>
      <c r="I103" s="261"/>
      <c r="J103" s="262"/>
      <c r="K103" s="242"/>
    </row>
    <row r="104" spans="2:11">
      <c r="B104" s="242"/>
      <c r="C104" s="242"/>
      <c r="D104" s="242"/>
      <c r="E104" s="242"/>
      <c r="F104" s="206"/>
      <c r="G104" s="242"/>
      <c r="H104" s="260"/>
      <c r="I104" s="261"/>
      <c r="J104" s="262"/>
      <c r="K104" s="242"/>
    </row>
    <row r="105" spans="2:11">
      <c r="B105" s="242"/>
      <c r="C105" s="242"/>
      <c r="D105" s="242"/>
      <c r="E105" s="242"/>
      <c r="F105" s="206"/>
      <c r="G105" s="242"/>
      <c r="H105" s="260"/>
      <c r="I105" s="261"/>
      <c r="J105" s="262"/>
      <c r="K105" s="242"/>
    </row>
    <row r="106" spans="2:11">
      <c r="B106" s="242"/>
      <c r="C106" s="242"/>
      <c r="D106" s="242"/>
      <c r="E106" s="242"/>
      <c r="F106" s="206"/>
      <c r="G106" s="242"/>
      <c r="H106" s="260"/>
      <c r="I106" s="261"/>
      <c r="J106" s="262"/>
      <c r="K106" s="242"/>
    </row>
    <row r="107" spans="2:11">
      <c r="B107" s="242"/>
      <c r="C107" s="242"/>
      <c r="D107" s="242"/>
      <c r="E107" s="242"/>
      <c r="F107" s="206"/>
      <c r="G107" s="242"/>
      <c r="H107" s="260"/>
      <c r="I107" s="261"/>
      <c r="J107" s="262"/>
      <c r="K107" s="242"/>
    </row>
    <row r="108" spans="2:11">
      <c r="B108" s="242"/>
      <c r="C108" s="242"/>
      <c r="D108" s="242"/>
      <c r="E108" s="242"/>
      <c r="F108" s="206"/>
      <c r="G108" s="242"/>
      <c r="H108" s="260"/>
      <c r="I108" s="261"/>
      <c r="J108" s="262"/>
      <c r="K108" s="242"/>
    </row>
    <row r="109" spans="2:11">
      <c r="B109" s="242"/>
      <c r="C109" s="242"/>
      <c r="D109" s="242"/>
      <c r="E109" s="242"/>
      <c r="F109" s="206"/>
      <c r="G109" s="242"/>
      <c r="H109" s="260"/>
      <c r="I109" s="261"/>
      <c r="J109" s="262"/>
      <c r="K109" s="242"/>
    </row>
    <row r="110" spans="2:11">
      <c r="B110" s="242"/>
      <c r="C110" s="242"/>
      <c r="D110" s="242"/>
      <c r="E110" s="242"/>
      <c r="F110" s="206"/>
      <c r="G110" s="242"/>
      <c r="H110" s="260"/>
      <c r="I110" s="261"/>
      <c r="J110" s="262"/>
      <c r="K110" s="242"/>
    </row>
    <row r="111" spans="2:11">
      <c r="B111" s="242"/>
      <c r="C111" s="242"/>
      <c r="D111" s="242"/>
      <c r="E111" s="242"/>
      <c r="F111" s="206"/>
      <c r="G111" s="242"/>
      <c r="H111" s="260"/>
      <c r="I111" s="261"/>
      <c r="J111" s="262"/>
      <c r="K111" s="242"/>
    </row>
    <row r="112" spans="2:11">
      <c r="B112" s="242"/>
      <c r="C112" s="242"/>
      <c r="D112" s="242"/>
      <c r="E112" s="242"/>
      <c r="F112" s="206"/>
      <c r="G112" s="242"/>
      <c r="H112" s="260"/>
      <c r="I112" s="261"/>
      <c r="J112" s="262"/>
      <c r="K112" s="242"/>
    </row>
    <row r="113" spans="2:11">
      <c r="B113" s="242"/>
      <c r="C113" s="242"/>
      <c r="D113" s="242"/>
      <c r="E113" s="242"/>
      <c r="F113" s="206"/>
      <c r="G113" s="242"/>
      <c r="H113" s="260"/>
      <c r="I113" s="261"/>
      <c r="J113" s="262"/>
      <c r="K113" s="242"/>
    </row>
    <row r="114" spans="2:11">
      <c r="B114" s="242"/>
      <c r="C114" s="242"/>
      <c r="D114" s="242"/>
      <c r="E114" s="242"/>
      <c r="F114" s="206"/>
      <c r="G114" s="242"/>
      <c r="H114" s="260"/>
      <c r="I114" s="261"/>
      <c r="J114" s="262"/>
      <c r="K114" s="242"/>
    </row>
    <row r="115" spans="2:11">
      <c r="B115" s="242"/>
      <c r="C115" s="242"/>
      <c r="D115" s="242"/>
      <c r="E115" s="242"/>
      <c r="F115" s="206"/>
      <c r="G115" s="242"/>
      <c r="H115" s="260"/>
      <c r="I115" s="261"/>
      <c r="J115" s="262"/>
      <c r="K115" s="242"/>
    </row>
    <row r="116" spans="2:11">
      <c r="D116" s="242"/>
      <c r="E116" s="242"/>
      <c r="F116" s="206"/>
      <c r="G116" s="242"/>
      <c r="H116" s="260"/>
      <c r="I116" s="261"/>
      <c r="J116" s="262"/>
      <c r="K116" s="242"/>
    </row>
    <row r="117" spans="2:11">
      <c r="D117" s="242"/>
      <c r="E117" s="242"/>
      <c r="F117" s="206"/>
      <c r="G117" s="242"/>
      <c r="H117" s="260"/>
      <c r="I117" s="261"/>
      <c r="J117" s="262"/>
      <c r="K117" s="242"/>
    </row>
    <row r="118" spans="2:11">
      <c r="D118" s="242"/>
      <c r="E118" s="242"/>
      <c r="F118" s="206"/>
      <c r="G118" s="242"/>
      <c r="H118" s="260"/>
      <c r="I118" s="261"/>
      <c r="J118" s="262"/>
      <c r="K118" s="242"/>
    </row>
    <row r="119" spans="2:11">
      <c r="D119" s="242"/>
      <c r="E119" s="242"/>
      <c r="F119" s="206"/>
      <c r="G119" s="242"/>
      <c r="H119" s="260"/>
      <c r="I119" s="261"/>
      <c r="J119" s="262"/>
      <c r="K119" s="242"/>
    </row>
    <row r="120" spans="2:11">
      <c r="D120" s="242"/>
      <c r="E120" s="242"/>
      <c r="F120" s="206"/>
      <c r="G120" s="242"/>
      <c r="H120" s="260"/>
      <c r="I120" s="261"/>
      <c r="J120" s="262"/>
      <c r="K120" s="242"/>
    </row>
    <row r="121" spans="2:11">
      <c r="D121" s="242"/>
      <c r="E121" s="242"/>
      <c r="F121" s="206"/>
      <c r="G121" s="242"/>
      <c r="H121" s="260"/>
      <c r="I121" s="261"/>
      <c r="J121" s="262"/>
      <c r="K121" s="242"/>
    </row>
    <row r="122" spans="2:11">
      <c r="D122" s="242"/>
      <c r="E122" s="242"/>
      <c r="F122" s="206"/>
      <c r="G122" s="242"/>
      <c r="H122" s="260"/>
      <c r="I122" s="261"/>
      <c r="J122" s="262"/>
      <c r="K122" s="242"/>
    </row>
    <row r="123" spans="2:11">
      <c r="D123" s="242"/>
      <c r="E123" s="242"/>
      <c r="F123" s="206"/>
      <c r="G123" s="242"/>
      <c r="H123" s="260"/>
      <c r="I123" s="261"/>
      <c r="J123" s="262"/>
      <c r="K123" s="242"/>
    </row>
    <row r="124" spans="2:11">
      <c r="D124" s="242"/>
      <c r="E124" s="242"/>
      <c r="F124" s="206"/>
      <c r="G124" s="242"/>
      <c r="H124" s="260"/>
      <c r="I124" s="261"/>
      <c r="J124" s="262"/>
      <c r="K124" s="242"/>
    </row>
    <row r="125" spans="2:11">
      <c r="D125" s="242"/>
      <c r="E125" s="242"/>
      <c r="F125" s="206"/>
      <c r="G125" s="242"/>
      <c r="H125" s="260"/>
      <c r="I125" s="261"/>
      <c r="J125" s="262"/>
      <c r="K125" s="242"/>
    </row>
    <row r="126" spans="2:11">
      <c r="D126" s="242"/>
      <c r="E126" s="242"/>
      <c r="F126" s="206"/>
      <c r="G126" s="242"/>
      <c r="H126" s="260"/>
      <c r="I126" s="261"/>
      <c r="J126" s="262"/>
      <c r="K126" s="242"/>
    </row>
    <row r="127" spans="2:11">
      <c r="D127" s="242"/>
      <c r="E127" s="242"/>
      <c r="F127" s="206"/>
      <c r="G127" s="242"/>
      <c r="H127" s="260"/>
      <c r="I127" s="261"/>
      <c r="J127" s="262"/>
      <c r="K127" s="242"/>
    </row>
    <row r="128" spans="2:11">
      <c r="D128" s="242"/>
      <c r="E128" s="242"/>
      <c r="F128" s="206"/>
      <c r="G128" s="242"/>
      <c r="H128" s="260"/>
      <c r="I128" s="261"/>
      <c r="J128" s="262"/>
      <c r="K128" s="242"/>
    </row>
    <row r="129" spans="4:11">
      <c r="D129" s="242"/>
      <c r="E129" s="242"/>
      <c r="F129" s="206"/>
      <c r="G129" s="242"/>
      <c r="H129" s="260"/>
      <c r="I129" s="261"/>
      <c r="J129" s="262"/>
      <c r="K129" s="242"/>
    </row>
    <row r="130" spans="4:11">
      <c r="D130" s="242"/>
      <c r="E130" s="242"/>
      <c r="F130" s="206"/>
      <c r="G130" s="242"/>
      <c r="H130" s="260"/>
      <c r="I130" s="261"/>
      <c r="J130" s="262"/>
      <c r="K130" s="242"/>
    </row>
    <row r="131" spans="4:11">
      <c r="D131" s="242"/>
      <c r="E131" s="242"/>
      <c r="F131" s="206"/>
      <c r="G131" s="242"/>
      <c r="H131" s="260"/>
      <c r="I131" s="261"/>
      <c r="J131" s="262"/>
      <c r="K131" s="242"/>
    </row>
    <row r="132" spans="4:11">
      <c r="D132" s="242"/>
      <c r="E132" s="242"/>
      <c r="F132" s="206"/>
      <c r="G132" s="242"/>
      <c r="H132" s="260"/>
      <c r="I132" s="261"/>
      <c r="J132" s="262"/>
      <c r="K132" s="242"/>
    </row>
    <row r="133" spans="4:11">
      <c r="D133" s="242"/>
      <c r="E133" s="242"/>
      <c r="F133" s="206"/>
      <c r="G133" s="242"/>
      <c r="H133" s="260"/>
      <c r="I133" s="261"/>
      <c r="J133" s="262"/>
    </row>
    <row r="134" spans="4:11">
      <c r="D134" s="242"/>
      <c r="E134" s="242"/>
      <c r="F134" s="206"/>
      <c r="G134" s="242"/>
      <c r="H134" s="260"/>
      <c r="I134" s="261"/>
      <c r="J134" s="262"/>
    </row>
    <row r="135" spans="4:11">
      <c r="D135" s="242"/>
      <c r="E135" s="242"/>
      <c r="F135" s="206"/>
      <c r="G135" s="242"/>
      <c r="H135" s="260"/>
      <c r="I135" s="261"/>
      <c r="J135" s="262"/>
    </row>
    <row r="136" spans="4:11">
      <c r="D136" s="242"/>
      <c r="E136" s="242"/>
      <c r="F136" s="206"/>
      <c r="G136" s="242"/>
      <c r="H136" s="260"/>
      <c r="I136" s="261"/>
      <c r="J136" s="262"/>
    </row>
    <row r="137" spans="4:11">
      <c r="D137" s="242"/>
      <c r="E137" s="242"/>
      <c r="F137" s="206"/>
      <c r="G137" s="242"/>
      <c r="H137" s="260"/>
      <c r="I137" s="261"/>
      <c r="J137" s="262"/>
    </row>
    <row r="138" spans="4:11">
      <c r="D138" s="242"/>
      <c r="E138" s="242"/>
      <c r="F138" s="206"/>
      <c r="G138" s="242"/>
      <c r="H138" s="260"/>
      <c r="I138" s="261"/>
      <c r="J138" s="262"/>
    </row>
    <row r="139" spans="4:11">
      <c r="D139" s="242"/>
      <c r="E139" s="242"/>
      <c r="F139" s="206"/>
      <c r="G139" s="242"/>
      <c r="H139" s="260"/>
      <c r="I139" s="261"/>
      <c r="J139" s="262"/>
    </row>
    <row r="140" spans="4:11">
      <c r="D140" s="242"/>
      <c r="E140" s="242"/>
      <c r="F140" s="206"/>
      <c r="G140" s="242"/>
      <c r="H140" s="260"/>
      <c r="I140" s="266"/>
      <c r="J140" s="262"/>
    </row>
    <row r="141" spans="4:11">
      <c r="D141" s="242"/>
      <c r="E141" s="242"/>
      <c r="F141" s="206"/>
      <c r="G141" s="242"/>
      <c r="H141" s="260"/>
      <c r="I141" s="266"/>
      <c r="J141" s="262"/>
    </row>
    <row r="142" spans="4:11">
      <c r="D142" s="242"/>
      <c r="E142" s="242"/>
      <c r="F142" s="206"/>
      <c r="G142" s="242"/>
      <c r="H142" s="260"/>
      <c r="I142" s="266"/>
      <c r="J142" s="262"/>
    </row>
    <row r="143" spans="4:11">
      <c r="D143" s="242"/>
      <c r="E143" s="242"/>
      <c r="F143" s="206"/>
      <c r="G143" s="242"/>
      <c r="H143" s="260"/>
      <c r="I143" s="266"/>
      <c r="J143" s="262"/>
    </row>
    <row r="144" spans="4:11">
      <c r="D144" s="242"/>
      <c r="E144" s="242"/>
      <c r="F144" s="206"/>
      <c r="G144" s="242"/>
      <c r="H144" s="260"/>
      <c r="I144" s="266"/>
      <c r="J144" s="262"/>
    </row>
    <row r="145" spans="4:10">
      <c r="D145" s="242"/>
      <c r="E145" s="242"/>
      <c r="F145" s="206"/>
      <c r="G145" s="242"/>
      <c r="H145" s="260"/>
      <c r="I145" s="266"/>
      <c r="J145" s="262"/>
    </row>
    <row r="146" spans="4:10">
      <c r="D146" s="242"/>
      <c r="E146" s="242"/>
      <c r="F146" s="206"/>
      <c r="G146" s="242"/>
      <c r="H146" s="260"/>
      <c r="I146" s="266"/>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62"/>
    </row>
    <row r="184" spans="4:10">
      <c r="D184" s="242"/>
      <c r="E184" s="242"/>
      <c r="F184" s="206"/>
      <c r="G184" s="242"/>
      <c r="H184" s="260"/>
      <c r="I184" s="266"/>
      <c r="J184" s="262"/>
    </row>
    <row r="185" spans="4:10">
      <c r="D185" s="242"/>
      <c r="E185" s="242"/>
      <c r="F185" s="206"/>
      <c r="G185" s="242"/>
      <c r="H185" s="260"/>
      <c r="I185" s="266"/>
      <c r="J185" s="206"/>
    </row>
    <row r="186" spans="4:10">
      <c r="D186" s="242"/>
      <c r="E186" s="242"/>
      <c r="F186" s="206"/>
      <c r="G186" s="242"/>
      <c r="H186" s="260"/>
      <c r="I186" s="266"/>
      <c r="J186" s="206"/>
    </row>
    <row r="187" spans="4:10">
      <c r="D187" s="242"/>
      <c r="E187" s="242"/>
      <c r="F187" s="206"/>
      <c r="G187" s="242"/>
      <c r="H187" s="260"/>
      <c r="I187" s="266"/>
      <c r="J187" s="206"/>
    </row>
    <row r="188" spans="4:10">
      <c r="D188" s="242"/>
      <c r="E188" s="242"/>
      <c r="F188" s="206"/>
      <c r="G188" s="242"/>
      <c r="H188" s="260"/>
      <c r="I188" s="266"/>
      <c r="J188" s="206"/>
    </row>
    <row r="189" spans="4:10">
      <c r="D189" s="242"/>
      <c r="E189" s="242"/>
      <c r="F189" s="206"/>
      <c r="G189" s="242"/>
      <c r="H189" s="260"/>
      <c r="I189" s="266"/>
      <c r="J189" s="206"/>
    </row>
    <row r="190" spans="4:10">
      <c r="D190" s="242"/>
      <c r="E190" s="242"/>
      <c r="F190" s="206"/>
      <c r="G190" s="242"/>
      <c r="H190" s="260"/>
      <c r="I190" s="266"/>
      <c r="J190" s="206"/>
    </row>
    <row r="191" spans="4:10">
      <c r="D191" s="242"/>
      <c r="E191" s="242"/>
      <c r="F191" s="206"/>
      <c r="G191" s="242"/>
      <c r="H191" s="260"/>
      <c r="I191" s="266"/>
      <c r="J191" s="206"/>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60"/>
      <c r="I253" s="266"/>
      <c r="J253" s="206"/>
    </row>
    <row r="254" spans="4:10">
      <c r="D254" s="242"/>
      <c r="E254" s="242"/>
      <c r="F254" s="206"/>
      <c r="G254" s="242"/>
      <c r="H254" s="260"/>
      <c r="I254" s="266"/>
      <c r="J254" s="206"/>
    </row>
    <row r="255" spans="4:10">
      <c r="D255" s="242"/>
      <c r="E255" s="242"/>
      <c r="F255" s="206"/>
      <c r="G255" s="242"/>
      <c r="H255" s="206"/>
      <c r="I255" s="266"/>
      <c r="J255" s="206"/>
    </row>
    <row r="256" spans="4:10">
      <c r="D256" s="242"/>
      <c r="E256" s="242"/>
      <c r="F256" s="206"/>
      <c r="G256" s="242"/>
      <c r="H256" s="206"/>
      <c r="I256" s="266"/>
      <c r="J256" s="206"/>
    </row>
    <row r="257" spans="4:10">
      <c r="D257" s="242"/>
      <c r="E257" s="242"/>
      <c r="F257" s="206"/>
      <c r="G257" s="242"/>
      <c r="H257" s="206"/>
      <c r="I257" s="266"/>
      <c r="J257" s="206"/>
    </row>
    <row r="258" spans="4:10">
      <c r="D258" s="242"/>
      <c r="E258" s="242"/>
      <c r="F258" s="206"/>
      <c r="G258" s="242"/>
      <c r="H258" s="206"/>
      <c r="I258" s="266"/>
      <c r="J258" s="206"/>
    </row>
    <row r="259" spans="4:10">
      <c r="D259" s="242"/>
      <c r="E259" s="242"/>
      <c r="F259" s="206"/>
      <c r="G259" s="242"/>
      <c r="H259" s="206"/>
      <c r="I259" s="266"/>
      <c r="J259" s="206"/>
    </row>
    <row r="260" spans="4:10">
      <c r="D260" s="242"/>
      <c r="E260" s="242"/>
      <c r="F260" s="206"/>
      <c r="G260" s="242"/>
      <c r="H260" s="206"/>
      <c r="I260" s="266"/>
      <c r="J260" s="206"/>
    </row>
    <row r="261" spans="4:10">
      <c r="D261" s="242"/>
      <c r="E261" s="242"/>
      <c r="F261" s="206"/>
      <c r="G261" s="242"/>
      <c r="H261" s="206"/>
      <c r="I261" s="266"/>
      <c r="J261" s="206"/>
    </row>
    <row r="262" spans="4:10">
      <c r="D262" s="242"/>
      <c r="E262" s="242"/>
      <c r="F262" s="206"/>
      <c r="G262" s="242"/>
      <c r="H262" s="206"/>
      <c r="I262" s="266"/>
      <c r="J262" s="206"/>
    </row>
    <row r="263" spans="4:10">
      <c r="D263" s="242"/>
      <c r="E263" s="242"/>
      <c r="F263" s="206"/>
      <c r="G263" s="242"/>
      <c r="H263" s="206"/>
      <c r="I263" s="266"/>
      <c r="J263" s="206"/>
    </row>
    <row r="264" spans="4:10">
      <c r="D264" s="242"/>
      <c r="E264" s="242"/>
      <c r="F264" s="206"/>
      <c r="G264" s="242"/>
      <c r="H264" s="206"/>
      <c r="I264" s="266"/>
      <c r="J264" s="206"/>
    </row>
    <row r="265" spans="4:10">
      <c r="D265" s="242"/>
      <c r="E265" s="242"/>
      <c r="F265" s="206"/>
      <c r="G265" s="242"/>
      <c r="H265" s="206"/>
      <c r="I265" s="266"/>
      <c r="J265" s="206"/>
    </row>
    <row r="266" spans="4:10">
      <c r="D266" s="242"/>
      <c r="E266" s="242"/>
      <c r="F266" s="206"/>
      <c r="G266" s="242"/>
      <c r="H266" s="206"/>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D272" s="242"/>
      <c r="E272" s="242"/>
      <c r="F272" s="206"/>
      <c r="G272" s="242"/>
      <c r="H272" s="206"/>
      <c r="I272" s="266"/>
      <c r="J272" s="206"/>
    </row>
    <row r="273" spans="4:10">
      <c r="D273" s="242"/>
      <c r="E273" s="242"/>
      <c r="F273" s="206"/>
      <c r="G273" s="242"/>
      <c r="H273" s="206"/>
      <c r="I273" s="266"/>
      <c r="J273" s="206"/>
    </row>
    <row r="274" spans="4:10">
      <c r="D274" s="242"/>
      <c r="E274" s="242"/>
      <c r="F274" s="206"/>
      <c r="G274" s="242"/>
      <c r="H274" s="206"/>
      <c r="I274" s="266"/>
      <c r="J274" s="206"/>
    </row>
    <row r="275" spans="4:10">
      <c r="D275" s="242"/>
      <c r="E275" s="242"/>
      <c r="F275" s="206"/>
      <c r="G275" s="242"/>
      <c r="H275" s="206"/>
      <c r="I275" s="266"/>
      <c r="J275" s="206"/>
    </row>
    <row r="276" spans="4:10">
      <c r="D276" s="242"/>
      <c r="E276" s="242"/>
      <c r="F276" s="206"/>
      <c r="G276" s="242"/>
      <c r="H276" s="206"/>
      <c r="I276" s="266"/>
      <c r="J276" s="206"/>
    </row>
    <row r="277" spans="4:10">
      <c r="D277" s="242"/>
      <c r="E277" s="242"/>
      <c r="F277" s="206"/>
      <c r="G277" s="242"/>
      <c r="H277" s="206"/>
      <c r="I277" s="266"/>
      <c r="J277" s="206"/>
    </row>
    <row r="278" spans="4:10">
      <c r="D278" s="242"/>
      <c r="E278" s="242"/>
      <c r="F278" s="206"/>
      <c r="G278" s="242"/>
      <c r="H278" s="206"/>
      <c r="I278" s="266"/>
      <c r="J278" s="206"/>
    </row>
    <row r="279" spans="4:10">
      <c r="I279" s="267"/>
    </row>
    <row r="280" spans="4:10">
      <c r="I280" s="267"/>
    </row>
    <row r="281" spans="4:10">
      <c r="I281" s="267"/>
    </row>
    <row r="282" spans="4:10">
      <c r="I282" s="267"/>
    </row>
    <row r="283" spans="4:10">
      <c r="I283" s="267"/>
    </row>
    <row r="284" spans="4:10">
      <c r="I284" s="267"/>
    </row>
    <row r="285" spans="4:10">
      <c r="I285" s="267"/>
    </row>
    <row r="286" spans="4:10">
      <c r="I286" s="267"/>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287"/>
  <sheetViews>
    <sheetView view="pageBreakPreview" topLeftCell="A48" zoomScale="130" zoomScaleSheetLayoutView="130" workbookViewId="0">
      <selection activeCell="H66" sqref="H66"/>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41</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Q19</f>
        <v>35.119999999999997</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f>R13+R14</f>
        <v>1</v>
      </c>
      <c r="G11" s="167"/>
      <c r="H11" s="176"/>
      <c r="I11" s="163"/>
      <c r="J11" s="176">
        <f>F11*H11</f>
        <v>0</v>
      </c>
      <c r="K11" s="136"/>
      <c r="L11" s="136" t="s">
        <v>459</v>
      </c>
      <c r="N11">
        <v>0</v>
      </c>
      <c r="O11">
        <v>6.96</v>
      </c>
      <c r="P11">
        <v>0</v>
      </c>
      <c r="Q11">
        <v>237.8</v>
      </c>
      <c r="R11">
        <v>192.32</v>
      </c>
      <c r="S11">
        <v>45.48</v>
      </c>
      <c r="T11">
        <v>0</v>
      </c>
      <c r="U11">
        <v>0</v>
      </c>
      <c r="V11">
        <v>0</v>
      </c>
      <c r="W11">
        <v>236.08</v>
      </c>
      <c r="X11">
        <v>188.71</v>
      </c>
      <c r="Y11">
        <v>26.82</v>
      </c>
      <c r="Z11">
        <v>16.920000000000002</v>
      </c>
      <c r="AA11">
        <v>3.62</v>
      </c>
      <c r="AB11">
        <v>188.71</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1</v>
      </c>
      <c r="G13" s="167"/>
      <c r="H13" s="176"/>
      <c r="I13" s="182"/>
      <c r="J13" s="176">
        <f>F13*H13</f>
        <v>0</v>
      </c>
      <c r="K13" s="136"/>
      <c r="L13" s="136" t="s">
        <v>179</v>
      </c>
      <c r="M13" t="s">
        <v>389</v>
      </c>
      <c r="N13">
        <v>1</v>
      </c>
      <c r="O13" t="s">
        <v>390</v>
      </c>
      <c r="P13" t="s">
        <v>391</v>
      </c>
      <c r="Q13">
        <v>1000</v>
      </c>
      <c r="R13">
        <v>0</v>
      </c>
    </row>
    <row r="14" spans="1:28" ht="14.25">
      <c r="A14" s="172"/>
      <c r="B14" s="173"/>
      <c r="C14" s="173"/>
      <c r="D14" s="165"/>
      <c r="E14" s="165"/>
      <c r="F14" s="166"/>
      <c r="G14" s="167"/>
      <c r="H14" s="168"/>
      <c r="I14" s="182"/>
      <c r="J14" s="168"/>
      <c r="K14" s="136"/>
      <c r="L14" s="136" t="s">
        <v>177</v>
      </c>
      <c r="M14" t="s">
        <v>389</v>
      </c>
      <c r="N14">
        <v>11</v>
      </c>
      <c r="O14" t="s">
        <v>392</v>
      </c>
      <c r="P14" t="s">
        <v>391</v>
      </c>
      <c r="Q14">
        <v>1000</v>
      </c>
      <c r="R14">
        <v>1</v>
      </c>
    </row>
    <row r="15" spans="1:28" ht="14.25">
      <c r="A15" s="172" t="s">
        <v>67</v>
      </c>
      <c r="B15" s="173" t="s">
        <v>74</v>
      </c>
      <c r="C15" s="173"/>
      <c r="D15" s="174" t="s">
        <v>190</v>
      </c>
      <c r="E15" s="165"/>
      <c r="F15" s="175">
        <v>1</v>
      </c>
      <c r="G15" s="167"/>
      <c r="H15" s="176"/>
      <c r="I15" s="182"/>
      <c r="J15" s="176">
        <f>F15*H15</f>
        <v>0</v>
      </c>
      <c r="K15" s="136"/>
      <c r="L15" s="136"/>
    </row>
    <row r="16" spans="1:28" ht="14.25">
      <c r="A16" s="172"/>
      <c r="B16" s="173"/>
      <c r="C16" s="173"/>
      <c r="D16" s="165"/>
      <c r="E16" s="165"/>
      <c r="F16" s="166"/>
      <c r="G16" s="167"/>
      <c r="H16" s="168"/>
      <c r="I16" s="182"/>
      <c r="J16" s="168"/>
      <c r="K16" s="136"/>
      <c r="L16" s="136"/>
    </row>
    <row r="17" spans="1:17" ht="15" thickBot="1">
      <c r="A17" s="183"/>
      <c r="B17" s="184" t="s">
        <v>75</v>
      </c>
      <c r="C17" s="184"/>
      <c r="D17" s="185"/>
      <c r="E17" s="185"/>
      <c r="F17" s="186"/>
      <c r="G17" s="185"/>
      <c r="H17" s="187"/>
      <c r="I17" s="188"/>
      <c r="J17" s="189">
        <f>SUM(J9:J15)</f>
        <v>0</v>
      </c>
      <c r="K17" s="136"/>
      <c r="L17" s="136"/>
    </row>
    <row r="18" spans="1:17" ht="15" thickTop="1">
      <c r="A18" s="190"/>
      <c r="B18" s="191"/>
      <c r="C18" s="191"/>
      <c r="D18" s="192"/>
      <c r="E18" s="192"/>
      <c r="F18" s="165"/>
      <c r="G18" s="192"/>
      <c r="H18" s="193"/>
      <c r="I18" s="182"/>
      <c r="J18" s="194"/>
      <c r="K18" s="136"/>
      <c r="L18" s="136" t="s">
        <v>221</v>
      </c>
      <c r="N18" t="s">
        <v>239</v>
      </c>
      <c r="P18" t="s">
        <v>238</v>
      </c>
      <c r="Q18" s="450" t="s">
        <v>394</v>
      </c>
    </row>
    <row r="19" spans="1:17" ht="14.25">
      <c r="A19" s="190"/>
      <c r="B19" s="191"/>
      <c r="C19" s="191"/>
      <c r="D19" s="192"/>
      <c r="E19" s="192"/>
      <c r="F19" s="165"/>
      <c r="G19" s="192"/>
      <c r="H19" s="193"/>
      <c r="I19" s="182"/>
      <c r="J19" s="194"/>
      <c r="K19" s="136"/>
      <c r="L19" s="136" t="s">
        <v>240</v>
      </c>
      <c r="N19">
        <v>311.7</v>
      </c>
      <c r="P19">
        <v>235.4</v>
      </c>
      <c r="Q19">
        <v>35.119999999999997</v>
      </c>
    </row>
    <row r="20" spans="1:17" ht="15">
      <c r="A20" s="195" t="s">
        <v>61</v>
      </c>
      <c r="B20" s="196" t="s">
        <v>76</v>
      </c>
      <c r="C20" s="196"/>
      <c r="D20" s="160"/>
      <c r="E20" s="160"/>
      <c r="F20" s="170"/>
      <c r="G20" s="171"/>
      <c r="H20" s="197"/>
      <c r="I20" s="180"/>
      <c r="J20" s="198"/>
      <c r="K20" s="136"/>
      <c r="L20" s="136"/>
    </row>
    <row r="21" spans="1:17" ht="15">
      <c r="A21" s="195"/>
      <c r="B21" s="453" t="s">
        <v>452</v>
      </c>
      <c r="C21" s="196"/>
      <c r="D21" s="160"/>
      <c r="E21" s="160"/>
      <c r="F21" s="170"/>
      <c r="G21" s="171"/>
      <c r="H21" s="197"/>
      <c r="I21" s="180"/>
      <c r="J21" s="198"/>
      <c r="K21" s="136"/>
      <c r="L21" s="136"/>
    </row>
    <row r="22" spans="1:17" ht="15">
      <c r="A22" s="195"/>
      <c r="B22" s="196"/>
      <c r="C22" s="196"/>
      <c r="D22" s="160"/>
      <c r="E22" s="160"/>
      <c r="F22" s="170"/>
      <c r="G22" s="171"/>
      <c r="H22" s="197"/>
      <c r="I22" s="180"/>
      <c r="J22" s="198"/>
      <c r="K22" s="136"/>
      <c r="L22" s="136"/>
    </row>
    <row r="23" spans="1:17" ht="51">
      <c r="A23" s="203" t="s">
        <v>61</v>
      </c>
      <c r="B23" s="204" t="s">
        <v>22</v>
      </c>
      <c r="C23" s="205"/>
      <c r="D23" s="206"/>
      <c r="E23" s="206"/>
      <c r="F23" s="207"/>
      <c r="G23" s="208"/>
      <c r="H23" s="209"/>
      <c r="I23" s="180"/>
      <c r="J23" s="194"/>
      <c r="K23" s="136"/>
      <c r="L23" s="136"/>
    </row>
    <row r="24" spans="1:17" ht="15.75">
      <c r="A24" s="210"/>
      <c r="B24" s="205" t="s">
        <v>78</v>
      </c>
      <c r="C24" s="205"/>
      <c r="D24" s="211" t="s">
        <v>108</v>
      </c>
      <c r="E24" s="206"/>
      <c r="F24" s="212">
        <f>F9*1.4*0.95</f>
        <v>46.709599999999988</v>
      </c>
      <c r="G24" s="208"/>
      <c r="H24" s="213"/>
      <c r="I24" s="180"/>
      <c r="J24" s="202">
        <f>F24*H24</f>
        <v>0</v>
      </c>
      <c r="K24" s="136"/>
      <c r="L24" s="136"/>
    </row>
    <row r="25" spans="1:17" ht="14.25">
      <c r="A25" s="203"/>
      <c r="B25" s="205" t="s">
        <v>79</v>
      </c>
      <c r="C25" s="205"/>
      <c r="D25" s="211" t="s">
        <v>108</v>
      </c>
      <c r="E25" s="206"/>
      <c r="F25" s="212">
        <f>F9*1.4*0.05</f>
        <v>2.4583999999999997</v>
      </c>
      <c r="G25" s="208"/>
      <c r="H25" s="213"/>
      <c r="I25" s="180"/>
      <c r="J25" s="202">
        <f>F25*H25</f>
        <v>0</v>
      </c>
      <c r="K25" s="136"/>
      <c r="L25" s="136"/>
    </row>
    <row r="26" spans="1:17" ht="14.25">
      <c r="A26" s="203"/>
      <c r="B26" s="173"/>
      <c r="C26" s="205"/>
      <c r="D26" s="214"/>
      <c r="E26" s="206"/>
      <c r="F26" s="207"/>
      <c r="G26" s="208"/>
      <c r="H26" s="215"/>
      <c r="I26" s="180"/>
      <c r="J26" s="194"/>
      <c r="K26" s="199"/>
      <c r="L26" s="199"/>
      <c r="N26" s="200"/>
      <c r="O26" s="200"/>
    </row>
    <row r="27" spans="1:17" ht="25.5">
      <c r="A27" s="203" t="s">
        <v>63</v>
      </c>
      <c r="B27" s="205" t="s">
        <v>21</v>
      </c>
      <c r="C27" s="205"/>
      <c r="D27" s="206"/>
      <c r="E27" s="206"/>
      <c r="F27" s="216"/>
      <c r="G27" s="217"/>
      <c r="H27" s="209"/>
      <c r="I27" s="180"/>
      <c r="J27" s="218"/>
      <c r="K27" s="199"/>
      <c r="L27" s="199"/>
      <c r="N27" s="200"/>
      <c r="O27" s="200"/>
    </row>
    <row r="28" spans="1:17" ht="14.25">
      <c r="A28" s="203"/>
      <c r="B28" s="205" t="s">
        <v>23</v>
      </c>
      <c r="C28" s="205"/>
      <c r="D28" s="211" t="s">
        <v>105</v>
      </c>
      <c r="E28" s="206"/>
      <c r="F28" s="220">
        <f>F9*0.8</f>
        <v>28.096</v>
      </c>
      <c r="G28" s="221"/>
      <c r="H28" s="213"/>
      <c r="I28" s="180"/>
      <c r="J28" s="202">
        <f>F28*H28</f>
        <v>0</v>
      </c>
      <c r="K28" s="199"/>
      <c r="L28" s="199"/>
      <c r="N28" s="200"/>
      <c r="O28" s="200"/>
    </row>
    <row r="29" spans="1:17" ht="14.25">
      <c r="A29" s="172"/>
      <c r="B29" s="173"/>
      <c r="C29" s="173"/>
      <c r="D29" s="165"/>
      <c r="E29" s="160"/>
      <c r="F29" s="222"/>
      <c r="G29" s="223"/>
      <c r="H29" s="215"/>
      <c r="I29" s="180"/>
      <c r="J29" s="194"/>
      <c r="K29" s="199"/>
      <c r="L29" s="199"/>
      <c r="N29" s="200"/>
      <c r="O29" s="200"/>
    </row>
    <row r="30" spans="1:17" ht="51">
      <c r="A30" s="172" t="s">
        <v>67</v>
      </c>
      <c r="B30" s="224" t="s">
        <v>80</v>
      </c>
      <c r="C30" s="225"/>
      <c r="D30" s="174" t="s">
        <v>108</v>
      </c>
      <c r="E30" s="160"/>
      <c r="F30" s="175">
        <f>AA11</f>
        <v>3.62</v>
      </c>
      <c r="G30" s="167"/>
      <c r="H30" s="213"/>
      <c r="I30" s="169"/>
      <c r="J30" s="202">
        <f>F30*H30</f>
        <v>0</v>
      </c>
      <c r="K30" s="200"/>
      <c r="L30" s="199"/>
      <c r="M30" s="200"/>
    </row>
    <row r="31" spans="1:17" ht="14.25">
      <c r="A31" s="172"/>
      <c r="B31" s="224"/>
      <c r="C31" s="225"/>
      <c r="D31" s="160"/>
      <c r="E31" s="160"/>
      <c r="F31" s="166"/>
      <c r="G31" s="167"/>
      <c r="H31" s="215"/>
      <c r="I31" s="169"/>
      <c r="J31" s="194"/>
      <c r="K31" s="200"/>
      <c r="L31" s="199"/>
      <c r="M31" s="200"/>
    </row>
    <row r="32" spans="1:17" ht="38.25">
      <c r="A32" s="172" t="s">
        <v>68</v>
      </c>
      <c r="B32" s="173" t="s">
        <v>24</v>
      </c>
      <c r="C32" s="225"/>
      <c r="D32" s="174" t="s">
        <v>108</v>
      </c>
      <c r="E32" s="160"/>
      <c r="F32" s="175">
        <f>Z11</f>
        <v>16.920000000000002</v>
      </c>
      <c r="G32" s="167"/>
      <c r="H32" s="213"/>
      <c r="I32" s="169"/>
      <c r="J32" s="202">
        <f>F32*H32</f>
        <v>0</v>
      </c>
      <c r="K32" s="200"/>
      <c r="L32" s="199"/>
      <c r="M32" s="200"/>
    </row>
    <row r="33" spans="1:15" ht="14.25">
      <c r="A33" s="172"/>
      <c r="B33" s="173"/>
      <c r="C33" s="225"/>
      <c r="D33" s="165"/>
      <c r="E33" s="160"/>
      <c r="F33" s="166"/>
      <c r="G33" s="167"/>
      <c r="H33" s="215"/>
      <c r="I33" s="169"/>
      <c r="J33" s="194"/>
      <c r="K33" s="200"/>
      <c r="L33" s="199"/>
      <c r="M33" s="200"/>
    </row>
    <row r="34" spans="1:15" ht="76.5">
      <c r="A34" s="172" t="s">
        <v>69</v>
      </c>
      <c r="B34" s="224" t="s">
        <v>25</v>
      </c>
      <c r="C34" s="226"/>
      <c r="D34" s="179"/>
      <c r="E34" s="179"/>
      <c r="F34" s="166"/>
      <c r="G34" s="167"/>
      <c r="H34" s="198"/>
      <c r="I34" s="163"/>
      <c r="J34" s="198"/>
      <c r="K34" s="171"/>
      <c r="L34" s="219"/>
      <c r="M34" s="200"/>
    </row>
    <row r="35" spans="1:15" ht="15">
      <c r="A35" s="172"/>
      <c r="B35" s="173" t="s">
        <v>78</v>
      </c>
      <c r="C35" s="173"/>
      <c r="D35" s="174" t="s">
        <v>108</v>
      </c>
      <c r="E35" s="160"/>
      <c r="F35" s="175">
        <f>(F24+F25-F30-F32)*0.95</f>
        <v>27.196599999999986</v>
      </c>
      <c r="G35" s="167"/>
      <c r="H35" s="213"/>
      <c r="I35" s="163"/>
      <c r="J35" s="202">
        <f>F35*H35</f>
        <v>0</v>
      </c>
      <c r="K35" s="171"/>
      <c r="L35" s="219"/>
      <c r="M35" s="200"/>
    </row>
    <row r="36" spans="1:15" ht="14.25">
      <c r="A36" s="172"/>
      <c r="B36" s="173" t="s">
        <v>79</v>
      </c>
      <c r="C36" s="173"/>
      <c r="D36" s="174" t="s">
        <v>108</v>
      </c>
      <c r="E36" s="160"/>
      <c r="F36" s="181">
        <f>(F24+F25-F30-F32)*0.05</f>
        <v>1.4313999999999993</v>
      </c>
      <c r="G36" s="167"/>
      <c r="H36" s="213"/>
      <c r="I36" s="163"/>
      <c r="J36" s="202">
        <f>F36*H36</f>
        <v>0</v>
      </c>
      <c r="K36" s="199"/>
      <c r="L36" s="199"/>
      <c r="M36" s="200"/>
      <c r="N36" s="200"/>
      <c r="O36" s="200"/>
    </row>
    <row r="37" spans="1:15" ht="14.25">
      <c r="A37" s="172"/>
      <c r="B37" s="173"/>
      <c r="C37" s="173"/>
      <c r="D37" s="165"/>
      <c r="E37" s="160"/>
      <c r="F37" s="166"/>
      <c r="G37" s="167"/>
      <c r="H37" s="215"/>
      <c r="I37" s="163"/>
      <c r="J37" s="194"/>
      <c r="K37" s="199"/>
      <c r="L37" s="199"/>
      <c r="M37" s="200"/>
      <c r="N37" s="200"/>
      <c r="O37" s="200"/>
    </row>
    <row r="38" spans="1:15" ht="14.25">
      <c r="A38" s="172"/>
      <c r="B38" s="224"/>
      <c r="C38" s="226"/>
      <c r="D38" s="160"/>
      <c r="E38" s="160"/>
      <c r="F38" s="166"/>
      <c r="G38" s="167"/>
      <c r="H38" s="215"/>
      <c r="I38" s="163"/>
      <c r="J38" s="194"/>
      <c r="K38" s="199"/>
      <c r="L38" s="199"/>
      <c r="M38" s="200"/>
      <c r="N38" s="200"/>
      <c r="O38" s="200"/>
    </row>
    <row r="39" spans="1:15" ht="25.5">
      <c r="A39" s="172" t="s">
        <v>72</v>
      </c>
      <c r="B39" s="228" t="s">
        <v>27</v>
      </c>
      <c r="C39" s="226"/>
      <c r="D39" s="174" t="s">
        <v>108</v>
      </c>
      <c r="E39" s="160"/>
      <c r="F39" s="175">
        <f>F24+F25-F35-F36</f>
        <v>20.54</v>
      </c>
      <c r="G39" s="167"/>
      <c r="H39" s="213"/>
      <c r="I39" s="163"/>
      <c r="J39" s="202">
        <f>F39*H39</f>
        <v>0</v>
      </c>
      <c r="K39" s="199"/>
      <c r="L39" s="199"/>
      <c r="M39" s="200"/>
      <c r="N39" s="200"/>
      <c r="O39" s="200"/>
    </row>
    <row r="40" spans="1:15">
      <c r="A40" s="172"/>
      <c r="B40" s="228"/>
      <c r="C40" s="226"/>
      <c r="D40" s="165"/>
      <c r="E40" s="160"/>
      <c r="F40" s="166"/>
      <c r="G40" s="167"/>
      <c r="H40" s="215"/>
      <c r="I40" s="163"/>
      <c r="J40" s="194"/>
      <c r="K40" s="217"/>
      <c r="L40" s="200"/>
      <c r="M40" s="200"/>
      <c r="N40" s="200"/>
      <c r="O40" s="200"/>
    </row>
    <row r="41" spans="1:15" ht="13.5" thickBot="1">
      <c r="A41" s="183"/>
      <c r="B41" s="232" t="s">
        <v>28</v>
      </c>
      <c r="C41" s="232"/>
      <c r="D41" s="233"/>
      <c r="E41" s="233"/>
      <c r="F41" s="234"/>
      <c r="G41" s="235"/>
      <c r="H41" s="189"/>
      <c r="I41" s="236"/>
      <c r="J41" s="189">
        <f>SUM(J22:J40)</f>
        <v>0</v>
      </c>
      <c r="K41" s="217"/>
      <c r="L41" s="200"/>
      <c r="M41" s="200"/>
      <c r="N41" s="200"/>
      <c r="O41" s="200"/>
    </row>
    <row r="42" spans="1:15" ht="13.5" thickTop="1">
      <c r="A42" s="190"/>
      <c r="B42" s="237"/>
      <c r="C42" s="237"/>
      <c r="D42" s="238"/>
      <c r="E42" s="238"/>
      <c r="F42" s="166"/>
      <c r="G42" s="167"/>
      <c r="H42" s="194"/>
      <c r="I42" s="169"/>
      <c r="J42" s="194"/>
      <c r="K42" s="217"/>
      <c r="L42" s="200"/>
      <c r="M42" s="200"/>
      <c r="N42" s="200"/>
      <c r="O42" s="200"/>
    </row>
    <row r="43" spans="1:15">
      <c r="A43" s="190"/>
      <c r="B43" s="237"/>
      <c r="C43" s="237"/>
      <c r="D43" s="238"/>
      <c r="E43" s="238"/>
      <c r="F43" s="166"/>
      <c r="G43" s="167"/>
      <c r="H43" s="194"/>
      <c r="I43" s="169"/>
      <c r="J43" s="194"/>
      <c r="K43" s="217"/>
      <c r="L43" s="200"/>
      <c r="M43" s="200"/>
      <c r="N43" s="200"/>
      <c r="O43" s="200"/>
    </row>
    <row r="44" spans="1:15" ht="15">
      <c r="A44" s="195" t="s">
        <v>63</v>
      </c>
      <c r="B44" s="239" t="s">
        <v>29</v>
      </c>
      <c r="C44" s="239"/>
      <c r="D44" s="160"/>
      <c r="E44" s="160"/>
      <c r="F44" s="170"/>
      <c r="G44" s="171"/>
      <c r="H44" s="198"/>
      <c r="I44" s="163"/>
      <c r="J44" s="198"/>
      <c r="K44" s="217"/>
      <c r="L44" s="200"/>
      <c r="M44" s="200"/>
      <c r="N44" s="200"/>
      <c r="O44" s="200"/>
    </row>
    <row r="45" spans="1:15" ht="15">
      <c r="A45" s="195"/>
      <c r="B45" s="239"/>
      <c r="C45" s="239"/>
      <c r="D45" s="160"/>
      <c r="E45" s="160"/>
      <c r="F45" s="170"/>
      <c r="G45" s="171"/>
      <c r="H45" s="198"/>
      <c r="I45" s="163"/>
      <c r="J45" s="198"/>
      <c r="K45" s="217"/>
      <c r="L45" s="200"/>
      <c r="M45" s="200"/>
    </row>
    <row r="46" spans="1:15" ht="38.25">
      <c r="A46" s="172" t="s">
        <v>58</v>
      </c>
      <c r="B46" s="226" t="s">
        <v>396</v>
      </c>
      <c r="C46" s="226"/>
      <c r="D46" s="174" t="s">
        <v>60</v>
      </c>
      <c r="E46" s="160"/>
      <c r="F46" s="240">
        <f>Q19</f>
        <v>35.119999999999997</v>
      </c>
      <c r="G46" s="223"/>
      <c r="H46" s="213"/>
      <c r="I46" s="163"/>
      <c r="J46" s="202">
        <f>F46*H46</f>
        <v>0</v>
      </c>
      <c r="K46" s="217"/>
      <c r="L46" s="200"/>
      <c r="M46" s="200"/>
      <c r="N46" s="200"/>
      <c r="O46" s="200"/>
    </row>
    <row r="47" spans="1:15">
      <c r="A47" s="172"/>
      <c r="B47" s="226"/>
      <c r="C47" s="226"/>
      <c r="D47" s="160"/>
      <c r="E47" s="160"/>
      <c r="F47" s="170"/>
      <c r="G47" s="171"/>
      <c r="H47" s="198"/>
      <c r="I47" s="163"/>
      <c r="J47" s="198"/>
      <c r="K47" s="217"/>
      <c r="L47" s="200"/>
      <c r="M47" s="200"/>
      <c r="N47" s="200"/>
      <c r="O47" s="200"/>
    </row>
    <row r="48" spans="1:15">
      <c r="A48" s="172"/>
      <c r="B48" s="226"/>
      <c r="C48" s="226"/>
      <c r="D48" s="160"/>
      <c r="E48" s="160"/>
      <c r="F48" s="170"/>
      <c r="G48" s="171"/>
      <c r="H48" s="198"/>
      <c r="I48" s="163"/>
      <c r="J48" s="198"/>
      <c r="K48" s="217"/>
      <c r="L48" s="200"/>
      <c r="M48" s="200"/>
      <c r="N48" s="200"/>
      <c r="O48" s="200"/>
    </row>
    <row r="49" spans="1:15" ht="51">
      <c r="A49" s="172" t="s">
        <v>63</v>
      </c>
      <c r="B49" s="241" t="s">
        <v>398</v>
      </c>
      <c r="C49" s="241"/>
      <c r="D49" s="165"/>
      <c r="E49" s="165"/>
      <c r="F49" s="166"/>
      <c r="G49" s="167"/>
      <c r="H49" s="198"/>
      <c r="I49" s="163"/>
      <c r="J49" s="198"/>
      <c r="K49" s="217"/>
      <c r="L49" s="200"/>
      <c r="M49" s="200"/>
      <c r="N49" s="200"/>
      <c r="O49" s="200"/>
    </row>
    <row r="50" spans="1:15">
      <c r="A50" s="172"/>
      <c r="B50" s="241"/>
      <c r="C50" s="241"/>
      <c r="D50" s="174" t="s">
        <v>190</v>
      </c>
      <c r="E50" s="165"/>
      <c r="F50" s="175">
        <v>1</v>
      </c>
      <c r="G50" s="167"/>
      <c r="H50" s="213"/>
      <c r="I50" s="163"/>
      <c r="J50" s="202">
        <f>F50*H50</f>
        <v>0</v>
      </c>
      <c r="K50" s="217"/>
      <c r="L50" s="200"/>
      <c r="M50" s="200"/>
      <c r="N50" s="200"/>
      <c r="O50" s="200"/>
    </row>
    <row r="51" spans="1:15">
      <c r="A51" s="172"/>
      <c r="B51" s="241"/>
      <c r="C51" s="241"/>
      <c r="D51" s="160"/>
      <c r="E51" s="160"/>
      <c r="F51" s="170"/>
      <c r="G51" s="171"/>
      <c r="H51" s="198"/>
      <c r="I51" s="163"/>
      <c r="J51" s="198"/>
      <c r="K51" s="217"/>
      <c r="L51" s="200"/>
      <c r="M51" s="200"/>
      <c r="N51" s="200"/>
      <c r="O51" s="200"/>
    </row>
    <row r="52" spans="1:15" ht="51">
      <c r="A52" s="172" t="s">
        <v>67</v>
      </c>
      <c r="B52" s="241" t="s">
        <v>397</v>
      </c>
      <c r="C52" s="241"/>
      <c r="D52" s="165"/>
      <c r="E52" s="165"/>
      <c r="F52" s="166"/>
      <c r="G52" s="167"/>
      <c r="H52" s="198"/>
      <c r="I52" s="163"/>
      <c r="J52" s="198"/>
      <c r="K52" s="217"/>
      <c r="L52" s="200"/>
      <c r="M52" s="200"/>
      <c r="N52" s="200"/>
      <c r="O52" s="200"/>
    </row>
    <row r="53" spans="1:15">
      <c r="A53" s="172"/>
      <c r="B53" s="241"/>
      <c r="C53" s="241"/>
      <c r="D53" s="174" t="s">
        <v>190</v>
      </c>
      <c r="E53" s="165"/>
      <c r="F53" s="175">
        <f>R14</f>
        <v>1</v>
      </c>
      <c r="G53" s="167"/>
      <c r="H53" s="213"/>
      <c r="I53" s="163"/>
      <c r="J53" s="202">
        <f>F53*H53</f>
        <v>0</v>
      </c>
      <c r="K53" s="217"/>
      <c r="L53" s="200"/>
      <c r="M53" s="200"/>
      <c r="N53" s="200"/>
      <c r="O53" s="200"/>
    </row>
    <row r="54" spans="1:15">
      <c r="A54" s="172"/>
      <c r="B54" s="241"/>
      <c r="C54" s="241"/>
      <c r="D54" s="160"/>
      <c r="E54" s="160"/>
      <c r="F54" s="170"/>
      <c r="G54" s="171"/>
      <c r="H54" s="198"/>
      <c r="I54" s="163"/>
      <c r="J54" s="198"/>
      <c r="K54" s="217"/>
      <c r="L54" s="200"/>
      <c r="M54" s="200"/>
      <c r="N54" s="200"/>
      <c r="O54" s="200"/>
    </row>
    <row r="55" spans="1:15" ht="13.5" thickBot="1">
      <c r="A55" s="243"/>
      <c r="B55" s="244" t="s">
        <v>30</v>
      </c>
      <c r="C55" s="244"/>
      <c r="D55" s="186"/>
      <c r="E55" s="186"/>
      <c r="F55" s="234"/>
      <c r="G55" s="235"/>
      <c r="H55" s="189"/>
      <c r="I55" s="236"/>
      <c r="J55" s="189">
        <f>SUM(J46:J53)</f>
        <v>0</v>
      </c>
      <c r="K55" s="217"/>
      <c r="L55" s="200"/>
      <c r="M55" s="200"/>
      <c r="N55" s="200"/>
      <c r="O55" s="200"/>
    </row>
    <row r="56" spans="1:15" ht="13.5" thickTop="1">
      <c r="A56" s="245"/>
      <c r="B56" s="246"/>
      <c r="C56" s="246"/>
      <c r="D56" s="165"/>
      <c r="E56" s="165"/>
      <c r="F56" s="166"/>
      <c r="G56" s="167"/>
      <c r="H56" s="194"/>
      <c r="I56" s="169"/>
      <c r="J56" s="194"/>
      <c r="K56" s="242"/>
    </row>
    <row r="57" spans="1:15" ht="15.75">
      <c r="A57" s="247" t="s">
        <v>67</v>
      </c>
      <c r="B57" s="248" t="s">
        <v>31</v>
      </c>
      <c r="C57" s="248"/>
      <c r="D57" s="192"/>
      <c r="E57" s="192"/>
      <c r="F57" s="166"/>
      <c r="G57" s="167"/>
      <c r="H57" s="150"/>
      <c r="I57" s="163"/>
      <c r="J57" s="198"/>
      <c r="K57" s="242"/>
    </row>
    <row r="58" spans="1:15">
      <c r="A58" s="172"/>
      <c r="B58" s="249"/>
      <c r="C58" s="249"/>
      <c r="D58" s="250"/>
      <c r="E58" s="250"/>
      <c r="F58" s="170"/>
      <c r="G58" s="171"/>
      <c r="H58" s="150"/>
      <c r="I58" s="163"/>
      <c r="J58" s="198"/>
      <c r="K58" s="242"/>
    </row>
    <row r="59" spans="1:15" ht="25.5">
      <c r="A59" s="172" t="s">
        <v>58</v>
      </c>
      <c r="B59" s="173" t="s">
        <v>32</v>
      </c>
      <c r="C59" s="173"/>
      <c r="D59" s="251" t="s">
        <v>60</v>
      </c>
      <c r="E59" s="179"/>
      <c r="F59" s="175">
        <f>F9</f>
        <v>35.119999999999997</v>
      </c>
      <c r="G59" s="167"/>
      <c r="H59" s="213"/>
      <c r="I59" s="163"/>
      <c r="J59" s="202">
        <f>F59*H59</f>
        <v>0</v>
      </c>
      <c r="K59" s="242"/>
    </row>
    <row r="60" spans="1:15">
      <c r="A60" s="172"/>
      <c r="B60" s="173"/>
      <c r="C60" s="173"/>
      <c r="D60" s="179"/>
      <c r="E60" s="179"/>
      <c r="F60" s="170"/>
      <c r="G60" s="171"/>
      <c r="H60" s="150"/>
      <c r="I60" s="163"/>
      <c r="J60" s="198"/>
      <c r="K60" s="242"/>
    </row>
    <row r="61" spans="1:15">
      <c r="A61" s="172" t="s">
        <v>67</v>
      </c>
      <c r="B61" s="173" t="s">
        <v>33</v>
      </c>
      <c r="C61" s="173"/>
      <c r="D61" s="251" t="s">
        <v>60</v>
      </c>
      <c r="E61" s="179"/>
      <c r="F61" s="175">
        <f>F9</f>
        <v>35.119999999999997</v>
      </c>
      <c r="G61" s="167"/>
      <c r="H61" s="213"/>
      <c r="I61" s="163"/>
      <c r="J61" s="202">
        <f>F61*H61</f>
        <v>0</v>
      </c>
      <c r="K61" s="242"/>
    </row>
    <row r="62" spans="1:15">
      <c r="A62" s="172"/>
      <c r="B62" s="173"/>
      <c r="C62" s="173"/>
      <c r="D62" s="179"/>
      <c r="E62" s="179"/>
      <c r="F62" s="170"/>
      <c r="G62" s="171"/>
      <c r="H62" s="150"/>
      <c r="I62" s="163"/>
      <c r="J62" s="198"/>
      <c r="K62" s="242"/>
    </row>
    <row r="63" spans="1:15">
      <c r="A63" s="172" t="s">
        <v>68</v>
      </c>
      <c r="B63" s="173" t="s">
        <v>34</v>
      </c>
      <c r="C63" s="173"/>
      <c r="D63" s="251" t="s">
        <v>190</v>
      </c>
      <c r="E63" s="179"/>
      <c r="F63" s="175">
        <f>F50+F53</f>
        <v>2</v>
      </c>
      <c r="G63" s="167"/>
      <c r="H63" s="213"/>
      <c r="I63" s="163"/>
      <c r="J63" s="202">
        <f>F63*H63</f>
        <v>0</v>
      </c>
      <c r="K63" s="242"/>
    </row>
    <row r="64" spans="1:15">
      <c r="A64" s="172"/>
      <c r="B64" s="173"/>
      <c r="C64" s="173"/>
      <c r="D64" s="179"/>
      <c r="E64" s="179"/>
      <c r="F64" s="170"/>
      <c r="G64" s="171"/>
      <c r="H64" s="150"/>
      <c r="I64" s="163"/>
      <c r="J64" s="198"/>
      <c r="K64" s="242"/>
    </row>
    <row r="65" spans="1:11" ht="25.5">
      <c r="A65" s="172" t="s">
        <v>69</v>
      </c>
      <c r="B65" s="173" t="s">
        <v>35</v>
      </c>
      <c r="C65" s="173"/>
      <c r="D65" s="251" t="s">
        <v>60</v>
      </c>
      <c r="E65" s="179"/>
      <c r="F65" s="175">
        <f>F9</f>
        <v>35.119999999999997</v>
      </c>
      <c r="G65" s="167"/>
      <c r="H65" s="213"/>
      <c r="I65" s="163"/>
      <c r="J65" s="202">
        <f>F65*H65</f>
        <v>0</v>
      </c>
      <c r="K65" s="242"/>
    </row>
    <row r="66" spans="1:11">
      <c r="A66" s="172"/>
      <c r="B66" s="173"/>
      <c r="C66" s="173"/>
      <c r="D66" s="179"/>
      <c r="E66" s="179"/>
      <c r="F66" s="170"/>
      <c r="G66" s="171"/>
      <c r="H66" s="150"/>
      <c r="I66" s="163"/>
      <c r="J66" s="198"/>
      <c r="K66" s="242"/>
    </row>
    <row r="67" spans="1:11" ht="13.5" thickBot="1">
      <c r="A67" s="183"/>
      <c r="B67" s="252" t="s">
        <v>36</v>
      </c>
      <c r="C67" s="252"/>
      <c r="D67" s="253"/>
      <c r="E67" s="253"/>
      <c r="F67" s="234"/>
      <c r="G67" s="235"/>
      <c r="H67" s="254"/>
      <c r="I67" s="236"/>
      <c r="J67" s="189">
        <f>SUM(J59:J65)</f>
        <v>0</v>
      </c>
      <c r="K67" s="242"/>
    </row>
    <row r="68" spans="1:11" ht="13.5" thickTop="1">
      <c r="A68" s="190"/>
      <c r="B68" s="255"/>
      <c r="C68" s="255"/>
      <c r="D68" s="256"/>
      <c r="E68" s="256"/>
      <c r="F68" s="166"/>
      <c r="G68" s="167"/>
      <c r="H68" s="168"/>
      <c r="I68" s="169"/>
      <c r="J68" s="194"/>
      <c r="K68" s="242"/>
    </row>
    <row r="69" spans="1:11">
      <c r="A69" s="190"/>
      <c r="B69" s="255"/>
      <c r="C69" s="255"/>
      <c r="D69" s="256"/>
      <c r="E69" s="256"/>
      <c r="F69" s="166"/>
      <c r="G69" s="167"/>
      <c r="H69" s="168"/>
      <c r="I69" s="169"/>
      <c r="J69" s="194"/>
      <c r="K69" s="242"/>
    </row>
    <row r="70" spans="1:11">
      <c r="A70" s="190"/>
      <c r="B70" s="255"/>
      <c r="C70" s="255"/>
      <c r="D70" s="256"/>
      <c r="E70" s="256"/>
      <c r="F70" s="166"/>
      <c r="G70" s="167"/>
      <c r="H70" s="150"/>
      <c r="I70" s="163"/>
      <c r="J70" s="198"/>
      <c r="K70" s="242"/>
    </row>
    <row r="71" spans="1:11">
      <c r="A71" s="190"/>
      <c r="B71" s="255"/>
      <c r="C71" s="255"/>
      <c r="D71" s="256"/>
      <c r="E71" s="256"/>
      <c r="F71" s="166"/>
      <c r="G71" s="167"/>
      <c r="H71" s="150"/>
      <c r="I71" s="163"/>
      <c r="J71" s="198"/>
      <c r="K71" s="242"/>
    </row>
    <row r="72" spans="1:11">
      <c r="A72" s="190"/>
      <c r="B72" s="255"/>
      <c r="C72" s="255"/>
      <c r="D72" s="256"/>
      <c r="E72" s="256"/>
      <c r="F72" s="166"/>
      <c r="G72" s="167"/>
      <c r="H72" s="150"/>
      <c r="I72" s="163"/>
      <c r="J72" s="198"/>
      <c r="K72" s="242"/>
    </row>
    <row r="73" spans="1:11">
      <c r="A73" s="190"/>
      <c r="B73" s="255"/>
      <c r="C73" s="255"/>
      <c r="D73" s="256"/>
      <c r="E73" s="256"/>
      <c r="F73" s="166"/>
      <c r="G73" s="167"/>
      <c r="H73" s="150"/>
      <c r="I73" s="163"/>
      <c r="J73" s="198"/>
      <c r="K73" s="242"/>
    </row>
    <row r="74" spans="1:11">
      <c r="A74" s="190"/>
      <c r="B74" s="255"/>
      <c r="C74" s="255"/>
      <c r="D74" s="256"/>
      <c r="E74" s="256"/>
      <c r="F74" s="166"/>
      <c r="G74" s="167"/>
      <c r="H74" s="150"/>
      <c r="I74" s="163"/>
      <c r="J74" s="198"/>
      <c r="K74" s="242"/>
    </row>
    <row r="75" spans="1:11">
      <c r="A75" s="190"/>
      <c r="B75" s="255"/>
      <c r="C75" s="255"/>
      <c r="D75" s="256"/>
      <c r="E75" s="256"/>
      <c r="F75" s="166"/>
      <c r="G75" s="167"/>
      <c r="H75" s="150"/>
      <c r="I75" s="163"/>
      <c r="J75" s="198"/>
      <c r="K75" s="242"/>
    </row>
    <row r="76" spans="1:11">
      <c r="A76" s="190"/>
      <c r="B76" s="255"/>
      <c r="C76" s="255"/>
      <c r="D76" s="256"/>
      <c r="E76" s="256"/>
      <c r="F76" s="166"/>
      <c r="G76" s="167"/>
      <c r="H76" s="150"/>
      <c r="I76" s="163"/>
      <c r="J76" s="198"/>
      <c r="K76" s="242"/>
    </row>
    <row r="77" spans="1:11">
      <c r="A77" s="172"/>
      <c r="B77" s="258"/>
      <c r="C77" s="258"/>
      <c r="D77" s="257"/>
      <c r="E77" s="257"/>
      <c r="F77" s="170"/>
      <c r="G77" s="171"/>
      <c r="H77" s="150"/>
      <c r="I77" s="163"/>
      <c r="J77" s="198"/>
      <c r="K77" s="242"/>
    </row>
    <row r="78" spans="1:11">
      <c r="B78" s="242"/>
      <c r="C78" s="242"/>
      <c r="D78" s="242"/>
      <c r="E78" s="242"/>
      <c r="F78" s="206"/>
      <c r="G78" s="242"/>
      <c r="H78" s="260"/>
      <c r="I78" s="261"/>
      <c r="J78" s="262"/>
      <c r="K78" s="242"/>
    </row>
    <row r="79" spans="1:11">
      <c r="B79" s="242"/>
      <c r="C79" s="242"/>
      <c r="D79" s="242"/>
      <c r="E79" s="242"/>
      <c r="F79" s="206"/>
      <c r="G79" s="242"/>
      <c r="H79" s="260"/>
      <c r="I79" s="261"/>
      <c r="J79" s="262"/>
      <c r="K79" s="242"/>
    </row>
    <row r="80" spans="1:11">
      <c r="B80" s="242"/>
      <c r="C80" s="242"/>
      <c r="D80" s="242"/>
      <c r="E80" s="242"/>
      <c r="F80" s="206"/>
      <c r="G80" s="242"/>
      <c r="H80" s="260"/>
      <c r="I80" s="261"/>
      <c r="J80" s="262"/>
      <c r="K80" s="242"/>
    </row>
    <row r="81" spans="2:18">
      <c r="B81" s="242"/>
      <c r="C81" s="242"/>
      <c r="D81" s="242"/>
      <c r="E81" s="242"/>
      <c r="F81" s="206"/>
      <c r="G81" s="242"/>
      <c r="H81" s="260"/>
      <c r="I81" s="261"/>
      <c r="J81" s="262"/>
      <c r="K81" s="242"/>
    </row>
    <row r="82" spans="2:18">
      <c r="B82" s="242"/>
      <c r="C82" s="242"/>
      <c r="D82" s="242"/>
      <c r="E82" s="242"/>
      <c r="F82" s="206"/>
      <c r="G82" s="242"/>
      <c r="H82" s="260"/>
      <c r="I82" s="261"/>
      <c r="J82" s="262"/>
      <c r="K82" s="242"/>
      <c r="Q82" s="259"/>
      <c r="R82" s="259"/>
    </row>
    <row r="83" spans="2:18">
      <c r="B83" s="242"/>
      <c r="C83" s="242"/>
      <c r="D83" s="242"/>
      <c r="E83" s="242"/>
      <c r="F83" s="206"/>
      <c r="G83" s="242"/>
      <c r="H83" s="260"/>
      <c r="I83" s="261"/>
      <c r="J83" s="262"/>
      <c r="K83" s="242"/>
      <c r="Q83" s="259"/>
      <c r="R83" s="259"/>
    </row>
    <row r="84" spans="2:18">
      <c r="B84" s="242"/>
      <c r="C84" s="242"/>
      <c r="D84" s="242"/>
      <c r="E84" s="242"/>
      <c r="F84" s="206"/>
      <c r="G84" s="242"/>
      <c r="H84" s="260"/>
      <c r="I84" s="261"/>
      <c r="J84" s="262"/>
      <c r="K84" s="242"/>
      <c r="Q84" s="259"/>
      <c r="R84" s="259"/>
    </row>
    <row r="85" spans="2:18">
      <c r="B85" s="242"/>
      <c r="C85" s="242"/>
      <c r="D85" s="242"/>
      <c r="E85" s="242"/>
      <c r="F85" s="206"/>
      <c r="G85" s="242"/>
      <c r="H85" s="260"/>
      <c r="I85" s="261"/>
      <c r="J85" s="262"/>
      <c r="K85" s="242"/>
      <c r="Q85" s="259"/>
      <c r="R85" s="259"/>
    </row>
    <row r="86" spans="2:18">
      <c r="B86" s="242"/>
      <c r="C86" s="242"/>
      <c r="D86" s="242"/>
      <c r="E86" s="242"/>
      <c r="F86" s="206"/>
      <c r="G86" s="242"/>
      <c r="H86" s="260"/>
      <c r="I86" s="261"/>
      <c r="J86" s="262"/>
      <c r="K86" s="242"/>
      <c r="Q86" s="259"/>
      <c r="R86" s="259"/>
    </row>
    <row r="87" spans="2:18">
      <c r="B87" s="242"/>
      <c r="C87" s="242"/>
      <c r="D87" s="242"/>
      <c r="E87" s="242"/>
      <c r="F87" s="206"/>
      <c r="G87" s="242"/>
      <c r="H87" s="260"/>
      <c r="I87" s="261"/>
      <c r="J87" s="262"/>
      <c r="K87" s="242"/>
      <c r="Q87" s="259"/>
      <c r="R87" s="259"/>
    </row>
    <row r="88" spans="2:18">
      <c r="B88" s="242"/>
      <c r="C88" s="242"/>
      <c r="D88" s="242"/>
      <c r="E88" s="242"/>
      <c r="F88" s="206"/>
      <c r="G88" s="242"/>
      <c r="H88" s="260"/>
      <c r="I88" s="261"/>
      <c r="J88" s="262"/>
      <c r="K88" s="242"/>
      <c r="Q88" s="259"/>
      <c r="R88" s="259"/>
    </row>
    <row r="89" spans="2:18">
      <c r="B89" s="242"/>
      <c r="C89" s="242"/>
      <c r="D89" s="242"/>
      <c r="E89" s="242"/>
      <c r="F89" s="206"/>
      <c r="G89" s="242"/>
      <c r="H89" s="260"/>
      <c r="I89" s="261"/>
      <c r="J89" s="262"/>
      <c r="K89" s="242"/>
      <c r="Q89" s="259"/>
      <c r="R89" s="259"/>
    </row>
    <row r="90" spans="2:18">
      <c r="B90" s="242"/>
      <c r="C90" s="242"/>
      <c r="D90" s="242"/>
      <c r="E90" s="242"/>
      <c r="F90" s="206"/>
      <c r="G90" s="242"/>
      <c r="H90" s="260"/>
      <c r="I90" s="261"/>
      <c r="J90" s="262"/>
      <c r="K90" s="242"/>
      <c r="Q90" s="259"/>
      <c r="R90" s="259"/>
    </row>
    <row r="91" spans="2:18">
      <c r="B91" s="242"/>
      <c r="C91" s="242"/>
      <c r="D91" s="242"/>
      <c r="E91" s="242"/>
      <c r="F91" s="206"/>
      <c r="G91" s="242"/>
      <c r="H91" s="260"/>
      <c r="I91" s="261"/>
      <c r="J91" s="262"/>
      <c r="K91" s="242"/>
      <c r="Q91" s="259"/>
      <c r="R91" s="259"/>
    </row>
    <row r="92" spans="2:18">
      <c r="B92" s="242"/>
      <c r="C92" s="242"/>
      <c r="D92" s="242"/>
      <c r="E92" s="242"/>
      <c r="F92" s="206"/>
      <c r="G92" s="242"/>
      <c r="H92" s="260"/>
      <c r="I92" s="261"/>
      <c r="J92" s="262"/>
      <c r="K92" s="263"/>
      <c r="L92" s="263"/>
      <c r="M92" s="264"/>
      <c r="Q92" s="259"/>
      <c r="R92" s="259"/>
    </row>
    <row r="93" spans="2:18">
      <c r="B93" s="242"/>
      <c r="C93" s="242"/>
      <c r="D93" s="242"/>
      <c r="E93" s="242"/>
      <c r="F93" s="206"/>
      <c r="G93" s="242"/>
      <c r="H93" s="260"/>
      <c r="I93" s="261"/>
      <c r="J93" s="262"/>
      <c r="K93" s="265"/>
      <c r="L93" s="265"/>
      <c r="M93" s="264"/>
    </row>
    <row r="94" spans="2:18">
      <c r="B94" s="242"/>
      <c r="C94" s="242"/>
      <c r="D94" s="242"/>
      <c r="E94" s="242"/>
      <c r="F94" s="206"/>
      <c r="G94" s="242"/>
      <c r="H94" s="260"/>
      <c r="I94" s="261"/>
      <c r="J94" s="262"/>
      <c r="K94" s="261"/>
      <c r="L94" s="261"/>
      <c r="M94" s="264"/>
    </row>
    <row r="95" spans="2:18">
      <c r="B95" s="242"/>
      <c r="C95" s="242"/>
      <c r="D95" s="242"/>
      <c r="E95" s="242"/>
      <c r="F95" s="206"/>
      <c r="G95" s="242"/>
      <c r="H95" s="260"/>
      <c r="I95" s="261"/>
      <c r="J95" s="262"/>
      <c r="K95" s="242"/>
    </row>
    <row r="96" spans="2:18">
      <c r="B96" s="242"/>
      <c r="C96" s="242"/>
      <c r="D96" s="242"/>
      <c r="E96" s="242"/>
      <c r="F96" s="206"/>
      <c r="G96" s="242"/>
      <c r="H96" s="260"/>
      <c r="I96" s="261"/>
      <c r="J96" s="262"/>
      <c r="K96" s="242"/>
    </row>
    <row r="97" spans="2:11">
      <c r="B97" s="242"/>
      <c r="C97" s="242"/>
      <c r="D97" s="242"/>
      <c r="E97" s="242"/>
      <c r="F97" s="206"/>
      <c r="G97" s="242"/>
      <c r="H97" s="260"/>
      <c r="I97" s="261"/>
      <c r="J97" s="262"/>
      <c r="K97" s="242"/>
    </row>
    <row r="98" spans="2:11">
      <c r="B98" s="242"/>
      <c r="C98" s="242"/>
      <c r="D98" s="242"/>
      <c r="E98" s="242"/>
      <c r="F98" s="206"/>
      <c r="G98" s="242"/>
      <c r="H98" s="260"/>
      <c r="I98" s="261"/>
      <c r="J98" s="262"/>
      <c r="K98" s="242"/>
    </row>
    <row r="99" spans="2:11">
      <c r="B99" s="242"/>
      <c r="C99" s="242"/>
      <c r="D99" s="242"/>
      <c r="E99" s="242"/>
      <c r="F99" s="206"/>
      <c r="G99" s="242"/>
      <c r="H99" s="260"/>
      <c r="I99" s="261"/>
      <c r="J99" s="262"/>
      <c r="K99" s="242"/>
    </row>
    <row r="100" spans="2:11">
      <c r="B100" s="242"/>
      <c r="C100" s="242"/>
      <c r="D100" s="242"/>
      <c r="E100" s="242"/>
      <c r="F100" s="206"/>
      <c r="G100" s="242"/>
      <c r="H100" s="260"/>
      <c r="I100" s="261"/>
      <c r="J100" s="262"/>
      <c r="K100" s="242"/>
    </row>
    <row r="101" spans="2:11">
      <c r="B101" s="242"/>
      <c r="C101" s="242"/>
      <c r="D101" s="242"/>
      <c r="E101" s="242"/>
      <c r="F101" s="206"/>
      <c r="G101" s="242"/>
      <c r="H101" s="260"/>
      <c r="I101" s="261"/>
      <c r="J101" s="262"/>
      <c r="K101" s="242"/>
    </row>
    <row r="102" spans="2:11">
      <c r="B102" s="242"/>
      <c r="C102" s="242"/>
      <c r="D102" s="242"/>
      <c r="E102" s="242"/>
      <c r="F102" s="206"/>
      <c r="G102" s="242"/>
      <c r="H102" s="260"/>
      <c r="I102" s="261"/>
      <c r="J102" s="262"/>
      <c r="K102" s="242"/>
    </row>
    <row r="103" spans="2:11">
      <c r="B103" s="242"/>
      <c r="C103" s="242"/>
      <c r="D103" s="242"/>
      <c r="E103" s="242"/>
      <c r="F103" s="206"/>
      <c r="G103" s="242"/>
      <c r="H103" s="260"/>
      <c r="I103" s="261"/>
      <c r="J103" s="262"/>
      <c r="K103" s="242"/>
    </row>
    <row r="104" spans="2:11">
      <c r="B104" s="242"/>
      <c r="C104" s="242"/>
      <c r="D104" s="242"/>
      <c r="E104" s="242"/>
      <c r="F104" s="206"/>
      <c r="G104" s="242"/>
      <c r="H104" s="260"/>
      <c r="I104" s="261"/>
      <c r="J104" s="262"/>
      <c r="K104" s="242"/>
    </row>
    <row r="105" spans="2:11">
      <c r="B105" s="242"/>
      <c r="C105" s="242"/>
      <c r="D105" s="242"/>
      <c r="E105" s="242"/>
      <c r="F105" s="206"/>
      <c r="G105" s="242"/>
      <c r="H105" s="260"/>
      <c r="I105" s="261"/>
      <c r="J105" s="262"/>
      <c r="K105" s="242"/>
    </row>
    <row r="106" spans="2:11">
      <c r="B106" s="242"/>
      <c r="C106" s="242"/>
      <c r="D106" s="242"/>
      <c r="E106" s="242"/>
      <c r="F106" s="206"/>
      <c r="G106" s="242"/>
      <c r="H106" s="260"/>
      <c r="I106" s="261"/>
      <c r="J106" s="262"/>
      <c r="K106" s="242"/>
    </row>
    <row r="107" spans="2:11">
      <c r="B107" s="242"/>
      <c r="C107" s="242"/>
      <c r="D107" s="242"/>
      <c r="E107" s="242"/>
      <c r="F107" s="206"/>
      <c r="G107" s="242"/>
      <c r="H107" s="260"/>
      <c r="I107" s="261"/>
      <c r="J107" s="262"/>
      <c r="K107" s="242"/>
    </row>
    <row r="108" spans="2:11">
      <c r="B108" s="242"/>
      <c r="C108" s="242"/>
      <c r="D108" s="242"/>
      <c r="E108" s="242"/>
      <c r="F108" s="206"/>
      <c r="G108" s="242"/>
      <c r="H108" s="260"/>
      <c r="I108" s="261"/>
      <c r="J108" s="262"/>
      <c r="K108" s="242"/>
    </row>
    <row r="109" spans="2:11">
      <c r="B109" s="242"/>
      <c r="C109" s="242"/>
      <c r="D109" s="242"/>
      <c r="E109" s="242"/>
      <c r="F109" s="206"/>
      <c r="G109" s="242"/>
      <c r="H109" s="260"/>
      <c r="I109" s="261"/>
      <c r="J109" s="262"/>
      <c r="K109" s="242"/>
    </row>
    <row r="110" spans="2:11">
      <c r="B110" s="242"/>
      <c r="C110" s="242"/>
      <c r="D110" s="242"/>
      <c r="E110" s="242"/>
      <c r="F110" s="206"/>
      <c r="G110" s="242"/>
      <c r="H110" s="260"/>
      <c r="I110" s="261"/>
      <c r="J110" s="262"/>
      <c r="K110" s="242"/>
    </row>
    <row r="111" spans="2:11">
      <c r="B111" s="242"/>
      <c r="C111" s="242"/>
      <c r="D111" s="242"/>
      <c r="E111" s="242"/>
      <c r="F111" s="206"/>
      <c r="G111" s="242"/>
      <c r="H111" s="260"/>
      <c r="I111" s="261"/>
      <c r="J111" s="262"/>
      <c r="K111" s="242"/>
    </row>
    <row r="112" spans="2:11">
      <c r="B112" s="242"/>
      <c r="C112" s="242"/>
      <c r="D112" s="242"/>
      <c r="E112" s="242"/>
      <c r="F112" s="206"/>
      <c r="G112" s="242"/>
      <c r="H112" s="260"/>
      <c r="I112" s="261"/>
      <c r="J112" s="262"/>
      <c r="K112" s="242"/>
    </row>
    <row r="113" spans="2:11">
      <c r="B113" s="242"/>
      <c r="C113" s="242"/>
      <c r="D113" s="242"/>
      <c r="E113" s="242"/>
      <c r="F113" s="206"/>
      <c r="G113" s="242"/>
      <c r="H113" s="260"/>
      <c r="I113" s="261"/>
      <c r="J113" s="262"/>
      <c r="K113" s="242"/>
    </row>
    <row r="114" spans="2:11">
      <c r="B114" s="242"/>
      <c r="C114" s="242"/>
      <c r="D114" s="242"/>
      <c r="E114" s="242"/>
      <c r="F114" s="206"/>
      <c r="G114" s="242"/>
      <c r="H114" s="260"/>
      <c r="I114" s="261"/>
      <c r="J114" s="262"/>
      <c r="K114" s="242"/>
    </row>
    <row r="115" spans="2:11">
      <c r="B115" s="242"/>
      <c r="C115" s="242"/>
      <c r="D115" s="242"/>
      <c r="E115" s="242"/>
      <c r="F115" s="206"/>
      <c r="G115" s="242"/>
      <c r="H115" s="260"/>
      <c r="I115" s="261"/>
      <c r="J115" s="262"/>
      <c r="K115" s="242"/>
    </row>
    <row r="116" spans="2:11">
      <c r="B116" s="242"/>
      <c r="C116" s="242"/>
      <c r="D116" s="242"/>
      <c r="E116" s="242"/>
      <c r="F116" s="206"/>
      <c r="G116" s="242"/>
      <c r="H116" s="260"/>
      <c r="I116" s="261"/>
      <c r="J116" s="262"/>
      <c r="K116" s="242"/>
    </row>
    <row r="117" spans="2:11">
      <c r="D117" s="242"/>
      <c r="E117" s="242"/>
      <c r="F117" s="206"/>
      <c r="G117" s="242"/>
      <c r="H117" s="260"/>
      <c r="I117" s="261"/>
      <c r="J117" s="262"/>
      <c r="K117" s="242"/>
    </row>
    <row r="118" spans="2:11">
      <c r="D118" s="242"/>
      <c r="E118" s="242"/>
      <c r="F118" s="206"/>
      <c r="G118" s="242"/>
      <c r="H118" s="260"/>
      <c r="I118" s="261"/>
      <c r="J118" s="262"/>
      <c r="K118" s="242"/>
    </row>
    <row r="119" spans="2:11">
      <c r="D119" s="242"/>
      <c r="E119" s="242"/>
      <c r="F119" s="206"/>
      <c r="G119" s="242"/>
      <c r="H119" s="260"/>
      <c r="I119" s="261"/>
      <c r="J119" s="262"/>
      <c r="K119" s="242"/>
    </row>
    <row r="120" spans="2:11">
      <c r="D120" s="242"/>
      <c r="E120" s="242"/>
      <c r="F120" s="206"/>
      <c r="G120" s="242"/>
      <c r="H120" s="260"/>
      <c r="I120" s="261"/>
      <c r="J120" s="262"/>
      <c r="K120" s="242"/>
    </row>
    <row r="121" spans="2:11">
      <c r="D121" s="242"/>
      <c r="E121" s="242"/>
      <c r="F121" s="206"/>
      <c r="G121" s="242"/>
      <c r="H121" s="260"/>
      <c r="I121" s="261"/>
      <c r="J121" s="262"/>
      <c r="K121" s="242"/>
    </row>
    <row r="122" spans="2:11">
      <c r="D122" s="242"/>
      <c r="E122" s="242"/>
      <c r="F122" s="206"/>
      <c r="G122" s="242"/>
      <c r="H122" s="260"/>
      <c r="I122" s="261"/>
      <c r="J122" s="262"/>
      <c r="K122" s="242"/>
    </row>
    <row r="123" spans="2:11">
      <c r="D123" s="242"/>
      <c r="E123" s="242"/>
      <c r="F123" s="206"/>
      <c r="G123" s="242"/>
      <c r="H123" s="260"/>
      <c r="I123" s="261"/>
      <c r="J123" s="262"/>
      <c r="K123" s="242"/>
    </row>
    <row r="124" spans="2:11">
      <c r="D124" s="242"/>
      <c r="E124" s="242"/>
      <c r="F124" s="206"/>
      <c r="G124" s="242"/>
      <c r="H124" s="260"/>
      <c r="I124" s="261"/>
      <c r="J124" s="262"/>
      <c r="K124" s="242"/>
    </row>
    <row r="125" spans="2:11">
      <c r="D125" s="242"/>
      <c r="E125" s="242"/>
      <c r="F125" s="206"/>
      <c r="G125" s="242"/>
      <c r="H125" s="260"/>
      <c r="I125" s="261"/>
      <c r="J125" s="262"/>
      <c r="K125" s="242"/>
    </row>
    <row r="126" spans="2:11">
      <c r="D126" s="242"/>
      <c r="E126" s="242"/>
      <c r="F126" s="206"/>
      <c r="G126" s="242"/>
      <c r="H126" s="260"/>
      <c r="I126" s="261"/>
      <c r="J126" s="262"/>
      <c r="K126" s="242"/>
    </row>
    <row r="127" spans="2:11">
      <c r="D127" s="242"/>
      <c r="E127" s="242"/>
      <c r="F127" s="206"/>
      <c r="G127" s="242"/>
      <c r="H127" s="260"/>
      <c r="I127" s="261"/>
      <c r="J127" s="262"/>
      <c r="K127" s="242"/>
    </row>
    <row r="128" spans="2:11">
      <c r="D128" s="242"/>
      <c r="E128" s="242"/>
      <c r="F128" s="206"/>
      <c r="G128" s="242"/>
      <c r="H128" s="260"/>
      <c r="I128" s="261"/>
      <c r="J128" s="262"/>
      <c r="K128" s="242"/>
    </row>
    <row r="129" spans="4:11">
      <c r="D129" s="242"/>
      <c r="E129" s="242"/>
      <c r="F129" s="206"/>
      <c r="G129" s="242"/>
      <c r="H129" s="260"/>
      <c r="I129" s="261"/>
      <c r="J129" s="262"/>
      <c r="K129" s="242"/>
    </row>
    <row r="130" spans="4:11">
      <c r="D130" s="242"/>
      <c r="E130" s="242"/>
      <c r="F130" s="206"/>
      <c r="G130" s="242"/>
      <c r="H130" s="260"/>
      <c r="I130" s="261"/>
      <c r="J130" s="262"/>
      <c r="K130" s="242"/>
    </row>
    <row r="131" spans="4:11">
      <c r="D131" s="242"/>
      <c r="E131" s="242"/>
      <c r="F131" s="206"/>
      <c r="G131" s="242"/>
      <c r="H131" s="260"/>
      <c r="I131" s="261"/>
      <c r="J131" s="262"/>
      <c r="K131" s="242"/>
    </row>
    <row r="132" spans="4:11">
      <c r="D132" s="242"/>
      <c r="E132" s="242"/>
      <c r="F132" s="206"/>
      <c r="G132" s="242"/>
      <c r="H132" s="260"/>
      <c r="I132" s="261"/>
      <c r="J132" s="262"/>
      <c r="K132" s="242"/>
    </row>
    <row r="133" spans="4:11">
      <c r="D133" s="242"/>
      <c r="E133" s="242"/>
      <c r="F133" s="206"/>
      <c r="G133" s="242"/>
      <c r="H133" s="260"/>
      <c r="I133" s="261"/>
      <c r="J133" s="262"/>
      <c r="K133" s="242"/>
    </row>
    <row r="134" spans="4:11">
      <c r="D134" s="242"/>
      <c r="E134" s="242"/>
      <c r="F134" s="206"/>
      <c r="G134" s="242"/>
      <c r="H134" s="260"/>
      <c r="I134" s="261"/>
      <c r="J134" s="262"/>
    </row>
    <row r="135" spans="4:11">
      <c r="D135" s="242"/>
      <c r="E135" s="242"/>
      <c r="F135" s="206"/>
      <c r="G135" s="242"/>
      <c r="H135" s="260"/>
      <c r="I135" s="261"/>
      <c r="J135" s="262"/>
    </row>
    <row r="136" spans="4:11">
      <c r="D136" s="242"/>
      <c r="E136" s="242"/>
      <c r="F136" s="206"/>
      <c r="G136" s="242"/>
      <c r="H136" s="260"/>
      <c r="I136" s="261"/>
      <c r="J136" s="262"/>
    </row>
    <row r="137" spans="4:11">
      <c r="D137" s="242"/>
      <c r="E137" s="242"/>
      <c r="F137" s="206"/>
      <c r="G137" s="242"/>
      <c r="H137" s="260"/>
      <c r="I137" s="261"/>
      <c r="J137" s="262"/>
    </row>
    <row r="138" spans="4:11">
      <c r="D138" s="242"/>
      <c r="E138" s="242"/>
      <c r="F138" s="206"/>
      <c r="G138" s="242"/>
      <c r="H138" s="260"/>
      <c r="I138" s="261"/>
      <c r="J138" s="262"/>
    </row>
    <row r="139" spans="4:11">
      <c r="D139" s="242"/>
      <c r="E139" s="242"/>
      <c r="F139" s="206"/>
      <c r="G139" s="242"/>
      <c r="H139" s="260"/>
      <c r="I139" s="261"/>
      <c r="J139" s="262"/>
    </row>
    <row r="140" spans="4:11">
      <c r="D140" s="242"/>
      <c r="E140" s="242"/>
      <c r="F140" s="206"/>
      <c r="G140" s="242"/>
      <c r="H140" s="260"/>
      <c r="I140" s="261"/>
      <c r="J140" s="262"/>
    </row>
    <row r="141" spans="4:11">
      <c r="D141" s="242"/>
      <c r="E141" s="242"/>
      <c r="F141" s="206"/>
      <c r="G141" s="242"/>
      <c r="H141" s="260"/>
      <c r="I141" s="266"/>
      <c r="J141" s="262"/>
    </row>
    <row r="142" spans="4:11">
      <c r="D142" s="242"/>
      <c r="E142" s="242"/>
      <c r="F142" s="206"/>
      <c r="G142" s="242"/>
      <c r="H142" s="260"/>
      <c r="I142" s="266"/>
      <c r="J142" s="262"/>
    </row>
    <row r="143" spans="4:11">
      <c r="D143" s="242"/>
      <c r="E143" s="242"/>
      <c r="F143" s="206"/>
      <c r="G143" s="242"/>
      <c r="H143" s="260"/>
      <c r="I143" s="266"/>
      <c r="J143" s="262"/>
    </row>
    <row r="144" spans="4:11">
      <c r="D144" s="242"/>
      <c r="E144" s="242"/>
      <c r="F144" s="206"/>
      <c r="G144" s="242"/>
      <c r="H144" s="260"/>
      <c r="I144" s="266"/>
      <c r="J144" s="262"/>
    </row>
    <row r="145" spans="4:10">
      <c r="D145" s="242"/>
      <c r="E145" s="242"/>
      <c r="F145" s="206"/>
      <c r="G145" s="242"/>
      <c r="H145" s="260"/>
      <c r="I145" s="266"/>
      <c r="J145" s="262"/>
    </row>
    <row r="146" spans="4:10">
      <c r="D146" s="242"/>
      <c r="E146" s="242"/>
      <c r="F146" s="206"/>
      <c r="G146" s="242"/>
      <c r="H146" s="260"/>
      <c r="I146" s="266"/>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62"/>
    </row>
    <row r="184" spans="4:10">
      <c r="D184" s="242"/>
      <c r="E184" s="242"/>
      <c r="F184" s="206"/>
      <c r="G184" s="242"/>
      <c r="H184" s="260"/>
      <c r="I184" s="266"/>
      <c r="J184" s="262"/>
    </row>
    <row r="185" spans="4:10">
      <c r="D185" s="242"/>
      <c r="E185" s="242"/>
      <c r="F185" s="206"/>
      <c r="G185" s="242"/>
      <c r="H185" s="260"/>
      <c r="I185" s="266"/>
      <c r="J185" s="262"/>
    </row>
    <row r="186" spans="4:10">
      <c r="D186" s="242"/>
      <c r="E186" s="242"/>
      <c r="F186" s="206"/>
      <c r="G186" s="242"/>
      <c r="H186" s="260"/>
      <c r="I186" s="266"/>
      <c r="J186" s="206"/>
    </row>
    <row r="187" spans="4:10">
      <c r="D187" s="242"/>
      <c r="E187" s="242"/>
      <c r="F187" s="206"/>
      <c r="G187" s="242"/>
      <c r="H187" s="260"/>
      <c r="I187" s="266"/>
      <c r="J187" s="206"/>
    </row>
    <row r="188" spans="4:10">
      <c r="D188" s="242"/>
      <c r="E188" s="242"/>
      <c r="F188" s="206"/>
      <c r="G188" s="242"/>
      <c r="H188" s="260"/>
      <c r="I188" s="266"/>
      <c r="J188" s="206"/>
    </row>
    <row r="189" spans="4:10">
      <c r="D189" s="242"/>
      <c r="E189" s="242"/>
      <c r="F189" s="206"/>
      <c r="G189" s="242"/>
      <c r="H189" s="260"/>
      <c r="I189" s="266"/>
      <c r="J189" s="206"/>
    </row>
    <row r="190" spans="4:10">
      <c r="D190" s="242"/>
      <c r="E190" s="242"/>
      <c r="F190" s="206"/>
      <c r="G190" s="242"/>
      <c r="H190" s="260"/>
      <c r="I190" s="266"/>
      <c r="J190" s="206"/>
    </row>
    <row r="191" spans="4:10">
      <c r="D191" s="242"/>
      <c r="E191" s="242"/>
      <c r="F191" s="206"/>
      <c r="G191" s="242"/>
      <c r="H191" s="260"/>
      <c r="I191" s="266"/>
      <c r="J191" s="206"/>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60"/>
      <c r="I253" s="266"/>
      <c r="J253" s="206"/>
    </row>
    <row r="254" spans="4:10">
      <c r="D254" s="242"/>
      <c r="E254" s="242"/>
      <c r="F254" s="206"/>
      <c r="G254" s="242"/>
      <c r="H254" s="260"/>
      <c r="I254" s="266"/>
      <c r="J254" s="206"/>
    </row>
    <row r="255" spans="4:10">
      <c r="D255" s="242"/>
      <c r="E255" s="242"/>
      <c r="F255" s="206"/>
      <c r="G255" s="242"/>
      <c r="H255" s="260"/>
      <c r="I255" s="266"/>
      <c r="J255" s="206"/>
    </row>
    <row r="256" spans="4:10">
      <c r="D256" s="242"/>
      <c r="E256" s="242"/>
      <c r="F256" s="206"/>
      <c r="G256" s="242"/>
      <c r="H256" s="206"/>
      <c r="I256" s="266"/>
      <c r="J256" s="206"/>
    </row>
    <row r="257" spans="4:10">
      <c r="D257" s="242"/>
      <c r="E257" s="242"/>
      <c r="F257" s="206"/>
      <c r="G257" s="242"/>
      <c r="H257" s="206"/>
      <c r="I257" s="266"/>
      <c r="J257" s="206"/>
    </row>
    <row r="258" spans="4:10">
      <c r="D258" s="242"/>
      <c r="E258" s="242"/>
      <c r="F258" s="206"/>
      <c r="G258" s="242"/>
      <c r="H258" s="206"/>
      <c r="I258" s="266"/>
      <c r="J258" s="206"/>
    </row>
    <row r="259" spans="4:10">
      <c r="D259" s="242"/>
      <c r="E259" s="242"/>
      <c r="F259" s="206"/>
      <c r="G259" s="242"/>
      <c r="H259" s="206"/>
      <c r="I259" s="266"/>
      <c r="J259" s="206"/>
    </row>
    <row r="260" spans="4:10">
      <c r="D260" s="242"/>
      <c r="E260" s="242"/>
      <c r="F260" s="206"/>
      <c r="G260" s="242"/>
      <c r="H260" s="206"/>
      <c r="I260" s="266"/>
      <c r="J260" s="206"/>
    </row>
    <row r="261" spans="4:10">
      <c r="D261" s="242"/>
      <c r="E261" s="242"/>
      <c r="F261" s="206"/>
      <c r="G261" s="242"/>
      <c r="H261" s="206"/>
      <c r="I261" s="266"/>
      <c r="J261" s="206"/>
    </row>
    <row r="262" spans="4:10">
      <c r="D262" s="242"/>
      <c r="E262" s="242"/>
      <c r="F262" s="206"/>
      <c r="G262" s="242"/>
      <c r="H262" s="206"/>
      <c r="I262" s="266"/>
      <c r="J262" s="206"/>
    </row>
    <row r="263" spans="4:10">
      <c r="D263" s="242"/>
      <c r="E263" s="242"/>
      <c r="F263" s="206"/>
      <c r="G263" s="242"/>
      <c r="H263" s="206"/>
      <c r="I263" s="266"/>
      <c r="J263" s="206"/>
    </row>
    <row r="264" spans="4:10">
      <c r="D264" s="242"/>
      <c r="E264" s="242"/>
      <c r="F264" s="206"/>
      <c r="G264" s="242"/>
      <c r="H264" s="206"/>
      <c r="I264" s="266"/>
      <c r="J264" s="206"/>
    </row>
    <row r="265" spans="4:10">
      <c r="D265" s="242"/>
      <c r="E265" s="242"/>
      <c r="F265" s="206"/>
      <c r="G265" s="242"/>
      <c r="H265" s="206"/>
      <c r="I265" s="266"/>
      <c r="J265" s="206"/>
    </row>
    <row r="266" spans="4:10">
      <c r="D266" s="242"/>
      <c r="E266" s="242"/>
      <c r="F266" s="206"/>
      <c r="G266" s="242"/>
      <c r="H266" s="206"/>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D272" s="242"/>
      <c r="E272" s="242"/>
      <c r="F272" s="206"/>
      <c r="G272" s="242"/>
      <c r="H272" s="206"/>
      <c r="I272" s="266"/>
      <c r="J272" s="206"/>
    </row>
    <row r="273" spans="4:10">
      <c r="D273" s="242"/>
      <c r="E273" s="242"/>
      <c r="F273" s="206"/>
      <c r="G273" s="242"/>
      <c r="H273" s="206"/>
      <c r="I273" s="266"/>
      <c r="J273" s="206"/>
    </row>
    <row r="274" spans="4:10">
      <c r="D274" s="242"/>
      <c r="E274" s="242"/>
      <c r="F274" s="206"/>
      <c r="G274" s="242"/>
      <c r="H274" s="206"/>
      <c r="I274" s="266"/>
      <c r="J274" s="206"/>
    </row>
    <row r="275" spans="4:10">
      <c r="D275" s="242"/>
      <c r="E275" s="242"/>
      <c r="F275" s="206"/>
      <c r="G275" s="242"/>
      <c r="H275" s="206"/>
      <c r="I275" s="266"/>
      <c r="J275" s="206"/>
    </row>
    <row r="276" spans="4:10">
      <c r="D276" s="242"/>
      <c r="E276" s="242"/>
      <c r="F276" s="206"/>
      <c r="G276" s="242"/>
      <c r="H276" s="206"/>
      <c r="I276" s="266"/>
      <c r="J276" s="206"/>
    </row>
    <row r="277" spans="4:10">
      <c r="D277" s="242"/>
      <c r="E277" s="242"/>
      <c r="F277" s="206"/>
      <c r="G277" s="242"/>
      <c r="H277" s="206"/>
      <c r="I277" s="266"/>
      <c r="J277" s="206"/>
    </row>
    <row r="278" spans="4:10">
      <c r="D278" s="242"/>
      <c r="E278" s="242"/>
      <c r="F278" s="206"/>
      <c r="G278" s="242"/>
      <c r="H278" s="206"/>
      <c r="I278" s="266"/>
      <c r="J278" s="206"/>
    </row>
    <row r="279" spans="4:10">
      <c r="D279" s="242"/>
      <c r="E279" s="242"/>
      <c r="F279" s="206"/>
      <c r="G279" s="242"/>
      <c r="H279" s="206"/>
      <c r="I279" s="266"/>
      <c r="J279" s="206"/>
    </row>
    <row r="280" spans="4:10">
      <c r="I280" s="267"/>
    </row>
    <row r="281" spans="4:10">
      <c r="I281" s="267"/>
    </row>
    <row r="282" spans="4:10">
      <c r="I282" s="267"/>
    </row>
    <row r="283" spans="4:10">
      <c r="I283" s="267"/>
    </row>
    <row r="284" spans="4:10">
      <c r="I284" s="267"/>
    </row>
    <row r="285" spans="4:10">
      <c r="I285" s="267"/>
    </row>
    <row r="286" spans="4:10">
      <c r="I286" s="267"/>
    </row>
    <row r="287" spans="4:10">
      <c r="I287" s="267"/>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286"/>
  <sheetViews>
    <sheetView view="pageBreakPreview" topLeftCell="A45" zoomScale="130" zoomScaleSheetLayoutView="130" workbookViewId="0">
      <selection activeCell="H65" sqref="H65"/>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41</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Q19</f>
        <v>86.33</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f>R13+R14</f>
        <v>4</v>
      </c>
      <c r="G11" s="167"/>
      <c r="H11" s="176"/>
      <c r="I11" s="163"/>
      <c r="J11" s="176">
        <f>F11*H11</f>
        <v>0</v>
      </c>
      <c r="K11" s="136"/>
      <c r="L11" s="136" t="s">
        <v>460</v>
      </c>
      <c r="N11">
        <v>0</v>
      </c>
      <c r="O11">
        <v>13.66</v>
      </c>
      <c r="P11">
        <v>0</v>
      </c>
      <c r="Q11">
        <v>355.87</v>
      </c>
      <c r="R11">
        <v>337.99</v>
      </c>
      <c r="S11">
        <v>17.88</v>
      </c>
      <c r="T11">
        <v>0</v>
      </c>
      <c r="U11">
        <v>0</v>
      </c>
      <c r="V11">
        <v>0</v>
      </c>
      <c r="W11">
        <v>351.63</v>
      </c>
      <c r="X11">
        <v>249</v>
      </c>
      <c r="Y11">
        <v>52.14</v>
      </c>
      <c r="Z11">
        <v>41.58</v>
      </c>
      <c r="AA11">
        <v>8.9</v>
      </c>
      <c r="AB11">
        <v>249</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1</v>
      </c>
      <c r="G13" s="167"/>
      <c r="H13" s="176"/>
      <c r="I13" s="182"/>
      <c r="J13" s="176">
        <f>F13*H13</f>
        <v>0</v>
      </c>
      <c r="K13" s="136"/>
      <c r="L13" s="136" t="s">
        <v>179</v>
      </c>
      <c r="M13" t="s">
        <v>389</v>
      </c>
      <c r="N13">
        <v>1</v>
      </c>
      <c r="O13" t="s">
        <v>390</v>
      </c>
      <c r="P13" t="s">
        <v>391</v>
      </c>
      <c r="Q13">
        <v>1000</v>
      </c>
      <c r="R13">
        <v>0</v>
      </c>
    </row>
    <row r="14" spans="1:28" ht="14.25">
      <c r="A14" s="172"/>
      <c r="B14" s="173"/>
      <c r="C14" s="173"/>
      <c r="D14" s="165"/>
      <c r="E14" s="165"/>
      <c r="F14" s="166"/>
      <c r="G14" s="167"/>
      <c r="H14" s="168"/>
      <c r="I14" s="182"/>
      <c r="J14" s="168"/>
      <c r="K14" s="136"/>
      <c r="L14" s="136" t="s">
        <v>177</v>
      </c>
      <c r="M14" t="s">
        <v>389</v>
      </c>
      <c r="N14">
        <v>11</v>
      </c>
      <c r="O14" t="s">
        <v>392</v>
      </c>
      <c r="P14" t="s">
        <v>391</v>
      </c>
      <c r="Q14">
        <v>1000</v>
      </c>
      <c r="R14">
        <v>4</v>
      </c>
    </row>
    <row r="15" spans="1:28" ht="14.25">
      <c r="A15" s="172" t="s">
        <v>67</v>
      </c>
      <c r="B15" s="173" t="s">
        <v>74</v>
      </c>
      <c r="C15" s="173"/>
      <c r="D15" s="174" t="s">
        <v>190</v>
      </c>
      <c r="E15" s="165"/>
      <c r="F15" s="175">
        <v>1</v>
      </c>
      <c r="G15" s="167"/>
      <c r="H15" s="176"/>
      <c r="I15" s="182"/>
      <c r="J15" s="176">
        <f>F15*H15</f>
        <v>0</v>
      </c>
      <c r="K15" s="136"/>
      <c r="L15" s="136"/>
    </row>
    <row r="16" spans="1:28" ht="14.25">
      <c r="A16" s="172"/>
      <c r="B16" s="173"/>
      <c r="C16" s="173"/>
      <c r="D16" s="165"/>
      <c r="E16" s="165"/>
      <c r="F16" s="166"/>
      <c r="G16" s="167"/>
      <c r="H16" s="168"/>
      <c r="I16" s="182"/>
      <c r="J16" s="168"/>
      <c r="K16" s="136"/>
      <c r="L16" s="136"/>
    </row>
    <row r="17" spans="1:17" ht="15" thickBot="1">
      <c r="A17" s="183"/>
      <c r="B17" s="184" t="s">
        <v>75</v>
      </c>
      <c r="C17" s="184"/>
      <c r="D17" s="185"/>
      <c r="E17" s="185"/>
      <c r="F17" s="186"/>
      <c r="G17" s="185"/>
      <c r="H17" s="187"/>
      <c r="I17" s="188"/>
      <c r="J17" s="189">
        <f>SUM(J9:J15)</f>
        <v>0</v>
      </c>
      <c r="K17" s="136"/>
      <c r="L17" s="136"/>
    </row>
    <row r="18" spans="1:17" ht="15" thickTop="1">
      <c r="A18" s="190"/>
      <c r="B18" s="191"/>
      <c r="C18" s="191"/>
      <c r="D18" s="192"/>
      <c r="E18" s="192"/>
      <c r="F18" s="165"/>
      <c r="G18" s="192"/>
      <c r="H18" s="193"/>
      <c r="I18" s="182"/>
      <c r="J18" s="194"/>
      <c r="K18" s="136"/>
      <c r="L18" s="136" t="s">
        <v>221</v>
      </c>
      <c r="N18" t="s">
        <v>239</v>
      </c>
      <c r="P18" t="s">
        <v>238</v>
      </c>
      <c r="Q18" s="450" t="s">
        <v>394</v>
      </c>
    </row>
    <row r="19" spans="1:17" ht="14.25">
      <c r="A19" s="190"/>
      <c r="B19" s="191"/>
      <c r="C19" s="191"/>
      <c r="D19" s="192"/>
      <c r="E19" s="192"/>
      <c r="F19" s="165"/>
      <c r="G19" s="192"/>
      <c r="H19" s="193"/>
      <c r="I19" s="182"/>
      <c r="J19" s="194"/>
      <c r="K19" s="136"/>
      <c r="L19" s="136" t="s">
        <v>240</v>
      </c>
      <c r="N19">
        <v>311.7</v>
      </c>
      <c r="P19">
        <v>235.4</v>
      </c>
      <c r="Q19">
        <v>86.33</v>
      </c>
    </row>
    <row r="20" spans="1:17" ht="15">
      <c r="A20" s="195" t="s">
        <v>61</v>
      </c>
      <c r="B20" s="196" t="s">
        <v>76</v>
      </c>
      <c r="C20" s="196"/>
      <c r="D20" s="160"/>
      <c r="E20" s="160"/>
      <c r="F20" s="170"/>
      <c r="G20" s="171"/>
      <c r="H20" s="197"/>
      <c r="I20" s="180"/>
      <c r="J20" s="198"/>
      <c r="K20" s="136"/>
      <c r="L20" s="136"/>
    </row>
    <row r="21" spans="1:17" ht="15">
      <c r="A21" s="195"/>
      <c r="B21" s="453" t="s">
        <v>452</v>
      </c>
      <c r="C21" s="196"/>
      <c r="D21" s="160"/>
      <c r="E21" s="160"/>
      <c r="F21" s="170"/>
      <c r="G21" s="171"/>
      <c r="H21" s="197"/>
      <c r="I21" s="180"/>
      <c r="J21" s="198"/>
      <c r="K21" s="136"/>
      <c r="L21" s="136"/>
    </row>
    <row r="22" spans="1:17" ht="15">
      <c r="A22" s="195"/>
      <c r="B22" s="196"/>
      <c r="C22" s="196"/>
      <c r="D22" s="160"/>
      <c r="E22" s="160"/>
      <c r="F22" s="170"/>
      <c r="G22" s="171"/>
      <c r="H22" s="197"/>
      <c r="I22" s="180"/>
      <c r="J22" s="198"/>
      <c r="K22" s="136"/>
      <c r="L22" s="136"/>
    </row>
    <row r="23" spans="1:17" ht="51">
      <c r="A23" s="203" t="s">
        <v>61</v>
      </c>
      <c r="B23" s="204" t="s">
        <v>22</v>
      </c>
      <c r="C23" s="205"/>
      <c r="D23" s="206"/>
      <c r="E23" s="206"/>
      <c r="F23" s="207"/>
      <c r="G23" s="208"/>
      <c r="H23" s="209"/>
      <c r="I23" s="180"/>
      <c r="J23" s="194"/>
      <c r="K23" s="136"/>
      <c r="L23" s="136"/>
    </row>
    <row r="24" spans="1:17" ht="15.75">
      <c r="A24" s="210"/>
      <c r="B24" s="205" t="s">
        <v>78</v>
      </c>
      <c r="C24" s="205"/>
      <c r="D24" s="211" t="s">
        <v>108</v>
      </c>
      <c r="E24" s="206"/>
      <c r="F24" s="212">
        <f>F9*1.4*0.95</f>
        <v>114.81889999999999</v>
      </c>
      <c r="G24" s="208"/>
      <c r="H24" s="213"/>
      <c r="I24" s="180"/>
      <c r="J24" s="202">
        <f>F24*H24</f>
        <v>0</v>
      </c>
      <c r="K24" s="136"/>
      <c r="L24" s="136"/>
    </row>
    <row r="25" spans="1:17" ht="14.25">
      <c r="A25" s="203"/>
      <c r="B25" s="205" t="s">
        <v>79</v>
      </c>
      <c r="C25" s="205"/>
      <c r="D25" s="211" t="s">
        <v>108</v>
      </c>
      <c r="E25" s="206"/>
      <c r="F25" s="212">
        <f>F9*1.4*0.05</f>
        <v>6.0430999999999999</v>
      </c>
      <c r="G25" s="208"/>
      <c r="H25" s="213"/>
      <c r="I25" s="180"/>
      <c r="J25" s="202">
        <f>F25*H25</f>
        <v>0</v>
      </c>
      <c r="K25" s="136"/>
      <c r="L25" s="136"/>
    </row>
    <row r="26" spans="1:17" ht="14.25">
      <c r="A26" s="203"/>
      <c r="B26" s="173"/>
      <c r="C26" s="205"/>
      <c r="D26" s="214"/>
      <c r="E26" s="206"/>
      <c r="F26" s="207"/>
      <c r="G26" s="208"/>
      <c r="H26" s="215"/>
      <c r="I26" s="180"/>
      <c r="J26" s="194"/>
      <c r="K26" s="199"/>
      <c r="L26" s="199"/>
      <c r="N26" s="200"/>
      <c r="O26" s="200"/>
    </row>
    <row r="27" spans="1:17" ht="25.5">
      <c r="A27" s="203" t="s">
        <v>63</v>
      </c>
      <c r="B27" s="205" t="s">
        <v>21</v>
      </c>
      <c r="C27" s="205"/>
      <c r="D27" s="206"/>
      <c r="E27" s="206"/>
      <c r="F27" s="216"/>
      <c r="G27" s="217"/>
      <c r="H27" s="209"/>
      <c r="I27" s="180"/>
      <c r="J27" s="218"/>
      <c r="K27" s="199"/>
      <c r="L27" s="199"/>
      <c r="N27" s="200"/>
      <c r="O27" s="200"/>
    </row>
    <row r="28" spans="1:17" ht="14.25">
      <c r="A28" s="203"/>
      <c r="B28" s="205" t="s">
        <v>23</v>
      </c>
      <c r="C28" s="205"/>
      <c r="D28" s="211" t="s">
        <v>105</v>
      </c>
      <c r="E28" s="206"/>
      <c r="F28" s="220">
        <f>F9*0.8</f>
        <v>69.064000000000007</v>
      </c>
      <c r="G28" s="221"/>
      <c r="H28" s="213"/>
      <c r="I28" s="180"/>
      <c r="J28" s="202">
        <f>F28*H28</f>
        <v>0</v>
      </c>
      <c r="K28" s="199"/>
      <c r="L28" s="199"/>
      <c r="N28" s="200"/>
      <c r="O28" s="200"/>
    </row>
    <row r="29" spans="1:17" ht="14.25">
      <c r="A29" s="172"/>
      <c r="B29" s="173"/>
      <c r="C29" s="173"/>
      <c r="D29" s="165"/>
      <c r="E29" s="160"/>
      <c r="F29" s="222"/>
      <c r="G29" s="223"/>
      <c r="H29" s="215"/>
      <c r="I29" s="180"/>
      <c r="J29" s="194"/>
      <c r="K29" s="199"/>
      <c r="L29" s="199"/>
      <c r="N29" s="200"/>
      <c r="O29" s="200"/>
    </row>
    <row r="30" spans="1:17" ht="51">
      <c r="A30" s="172" t="s">
        <v>67</v>
      </c>
      <c r="B30" s="224" t="s">
        <v>80</v>
      </c>
      <c r="C30" s="225"/>
      <c r="D30" s="174" t="s">
        <v>108</v>
      </c>
      <c r="E30" s="160"/>
      <c r="F30" s="175">
        <f>AA11</f>
        <v>8.9</v>
      </c>
      <c r="G30" s="167"/>
      <c r="H30" s="213"/>
      <c r="I30" s="169"/>
      <c r="J30" s="202">
        <f>F30*H30</f>
        <v>0</v>
      </c>
      <c r="K30" s="200"/>
      <c r="L30" s="199"/>
      <c r="M30" s="200"/>
    </row>
    <row r="31" spans="1:17" ht="14.25">
      <c r="A31" s="172"/>
      <c r="B31" s="224"/>
      <c r="C31" s="225"/>
      <c r="D31" s="160"/>
      <c r="E31" s="160"/>
      <c r="F31" s="166"/>
      <c r="G31" s="167"/>
      <c r="H31" s="215"/>
      <c r="I31" s="169"/>
      <c r="J31" s="194"/>
      <c r="K31" s="200"/>
      <c r="L31" s="199"/>
      <c r="M31" s="200"/>
    </row>
    <row r="32" spans="1:17" ht="38.25">
      <c r="A32" s="172" t="s">
        <v>68</v>
      </c>
      <c r="B32" s="173" t="s">
        <v>24</v>
      </c>
      <c r="C32" s="225"/>
      <c r="D32" s="174" t="s">
        <v>108</v>
      </c>
      <c r="E32" s="160"/>
      <c r="F32" s="175">
        <f>Z11</f>
        <v>41.58</v>
      </c>
      <c r="G32" s="167"/>
      <c r="H32" s="213"/>
      <c r="I32" s="169"/>
      <c r="J32" s="202">
        <f>F32*H32</f>
        <v>0</v>
      </c>
      <c r="K32" s="200"/>
      <c r="L32" s="199"/>
      <c r="M32" s="200"/>
    </row>
    <row r="33" spans="1:15" ht="14.25">
      <c r="A33" s="172"/>
      <c r="B33" s="173"/>
      <c r="C33" s="225"/>
      <c r="D33" s="165"/>
      <c r="E33" s="160"/>
      <c r="F33" s="166"/>
      <c r="G33" s="167"/>
      <c r="H33" s="215"/>
      <c r="I33" s="169"/>
      <c r="J33" s="194"/>
      <c r="K33" s="200"/>
      <c r="L33" s="199"/>
      <c r="M33" s="200"/>
    </row>
    <row r="34" spans="1:15" ht="76.5">
      <c r="A34" s="172" t="s">
        <v>69</v>
      </c>
      <c r="B34" s="224" t="s">
        <v>25</v>
      </c>
      <c r="C34" s="226"/>
      <c r="D34" s="179"/>
      <c r="E34" s="179"/>
      <c r="F34" s="166"/>
      <c r="G34" s="167"/>
      <c r="H34" s="198"/>
      <c r="I34" s="163"/>
      <c r="J34" s="198"/>
      <c r="K34" s="171"/>
      <c r="L34" s="219"/>
      <c r="M34" s="200"/>
    </row>
    <row r="35" spans="1:15" ht="15">
      <c r="A35" s="172"/>
      <c r="B35" s="173" t="s">
        <v>78</v>
      </c>
      <c r="C35" s="173"/>
      <c r="D35" s="174" t="s">
        <v>108</v>
      </c>
      <c r="E35" s="160"/>
      <c r="F35" s="175">
        <f>(F24+F25-F30-F32)*0.95</f>
        <v>66.862899999999968</v>
      </c>
      <c r="G35" s="167"/>
      <c r="H35" s="213"/>
      <c r="I35" s="163"/>
      <c r="J35" s="202">
        <f>F35*H35</f>
        <v>0</v>
      </c>
      <c r="K35" s="171"/>
      <c r="L35" s="219"/>
      <c r="M35" s="200"/>
    </row>
    <row r="36" spans="1:15" ht="14.25">
      <c r="A36" s="172"/>
      <c r="B36" s="173" t="s">
        <v>79</v>
      </c>
      <c r="C36" s="173"/>
      <c r="D36" s="174" t="s">
        <v>108</v>
      </c>
      <c r="E36" s="160"/>
      <c r="F36" s="181">
        <f>(F24+F25-F30-F32)*0.05</f>
        <v>3.519099999999999</v>
      </c>
      <c r="G36" s="167"/>
      <c r="H36" s="213"/>
      <c r="I36" s="163"/>
      <c r="J36" s="202">
        <f>F36*H36</f>
        <v>0</v>
      </c>
      <c r="K36" s="199"/>
      <c r="L36" s="199"/>
      <c r="M36" s="200"/>
      <c r="N36" s="200"/>
      <c r="O36" s="200"/>
    </row>
    <row r="37" spans="1:15" ht="14.25">
      <c r="A37" s="172"/>
      <c r="B37" s="173"/>
      <c r="C37" s="173"/>
      <c r="D37" s="165"/>
      <c r="E37" s="160"/>
      <c r="F37" s="166"/>
      <c r="G37" s="167"/>
      <c r="H37" s="215"/>
      <c r="I37" s="163"/>
      <c r="J37" s="194"/>
      <c r="K37" s="199"/>
      <c r="L37" s="199"/>
      <c r="M37" s="200"/>
      <c r="N37" s="200"/>
      <c r="O37" s="200"/>
    </row>
    <row r="38" spans="1:15" ht="14.25">
      <c r="A38" s="172"/>
      <c r="B38" s="224"/>
      <c r="C38" s="226"/>
      <c r="D38" s="165"/>
      <c r="E38" s="165"/>
      <c r="F38" s="166"/>
      <c r="G38" s="167"/>
      <c r="H38" s="215"/>
      <c r="I38" s="169"/>
      <c r="J38" s="194"/>
      <c r="K38" s="199"/>
      <c r="L38" s="199"/>
      <c r="M38" s="200"/>
      <c r="N38" s="200"/>
      <c r="O38" s="200"/>
    </row>
    <row r="39" spans="1:15" ht="25.5">
      <c r="A39" s="172" t="s">
        <v>72</v>
      </c>
      <c r="B39" s="228" t="s">
        <v>27</v>
      </c>
      <c r="C39" s="226"/>
      <c r="D39" s="174" t="s">
        <v>108</v>
      </c>
      <c r="E39" s="160"/>
      <c r="F39" s="175">
        <f>F24+F25-F35-F36</f>
        <v>50.480000000000011</v>
      </c>
      <c r="G39" s="167"/>
      <c r="H39" s="213"/>
      <c r="I39" s="163"/>
      <c r="J39" s="202">
        <f>F39*H39</f>
        <v>0</v>
      </c>
      <c r="K39" s="199"/>
      <c r="L39" s="199"/>
      <c r="M39" s="200"/>
      <c r="N39" s="200"/>
      <c r="O39" s="200"/>
    </row>
    <row r="40" spans="1:15">
      <c r="A40" s="172"/>
      <c r="B40" s="228"/>
      <c r="C40" s="226"/>
      <c r="D40" s="165"/>
      <c r="E40" s="160"/>
      <c r="F40" s="166"/>
      <c r="G40" s="167"/>
      <c r="H40" s="215"/>
      <c r="I40" s="163"/>
      <c r="J40" s="194"/>
      <c r="K40" s="217"/>
      <c r="L40" s="200"/>
      <c r="M40" s="200"/>
      <c r="N40" s="200"/>
      <c r="O40" s="200"/>
    </row>
    <row r="41" spans="1:15" ht="13.5" thickBot="1">
      <c r="A41" s="183"/>
      <c r="B41" s="232" t="s">
        <v>28</v>
      </c>
      <c r="C41" s="232"/>
      <c r="D41" s="233"/>
      <c r="E41" s="233"/>
      <c r="F41" s="234"/>
      <c r="G41" s="235"/>
      <c r="H41" s="189"/>
      <c r="I41" s="236"/>
      <c r="J41" s="189">
        <f>SUM(J22:J40)</f>
        <v>0</v>
      </c>
      <c r="K41" s="217"/>
      <c r="L41" s="200"/>
      <c r="M41" s="200"/>
      <c r="N41" s="200"/>
      <c r="O41" s="200"/>
    </row>
    <row r="42" spans="1:15" ht="13.5" thickTop="1">
      <c r="A42" s="190"/>
      <c r="B42" s="237"/>
      <c r="C42" s="237"/>
      <c r="D42" s="238"/>
      <c r="E42" s="238"/>
      <c r="F42" s="166"/>
      <c r="G42" s="167"/>
      <c r="H42" s="194"/>
      <c r="I42" s="169"/>
      <c r="J42" s="194"/>
      <c r="K42" s="217"/>
      <c r="L42" s="200"/>
      <c r="M42" s="200"/>
      <c r="N42" s="200"/>
      <c r="O42" s="200"/>
    </row>
    <row r="43" spans="1:15">
      <c r="A43" s="190"/>
      <c r="B43" s="237"/>
      <c r="C43" s="237"/>
      <c r="D43" s="238"/>
      <c r="E43" s="238"/>
      <c r="F43" s="166"/>
      <c r="G43" s="167"/>
      <c r="H43" s="194"/>
      <c r="I43" s="169"/>
      <c r="J43" s="194"/>
      <c r="K43" s="217"/>
      <c r="L43" s="200"/>
      <c r="M43" s="200"/>
      <c r="N43" s="200"/>
      <c r="O43" s="200"/>
    </row>
    <row r="44" spans="1:15" ht="15">
      <c r="A44" s="195" t="s">
        <v>63</v>
      </c>
      <c r="B44" s="239" t="s">
        <v>29</v>
      </c>
      <c r="C44" s="239"/>
      <c r="D44" s="160"/>
      <c r="E44" s="160"/>
      <c r="F44" s="170"/>
      <c r="G44" s="171"/>
      <c r="H44" s="198"/>
      <c r="I44" s="163"/>
      <c r="J44" s="198"/>
      <c r="K44" s="217"/>
      <c r="L44" s="200"/>
      <c r="M44" s="200"/>
      <c r="N44" s="200"/>
      <c r="O44" s="200"/>
    </row>
    <row r="45" spans="1:15" ht="15">
      <c r="A45" s="195"/>
      <c r="B45" s="239"/>
      <c r="C45" s="239"/>
      <c r="D45" s="160"/>
      <c r="E45" s="160"/>
      <c r="F45" s="170"/>
      <c r="G45" s="171"/>
      <c r="H45" s="198"/>
      <c r="I45" s="163"/>
      <c r="J45" s="198"/>
      <c r="K45" s="217"/>
      <c r="L45" s="200"/>
      <c r="M45" s="200"/>
    </row>
    <row r="46" spans="1:15" ht="38.25">
      <c r="A46" s="172" t="s">
        <v>58</v>
      </c>
      <c r="B46" s="226" t="s">
        <v>396</v>
      </c>
      <c r="C46" s="226"/>
      <c r="D46" s="174" t="s">
        <v>60</v>
      </c>
      <c r="E46" s="160"/>
      <c r="F46" s="240">
        <f>Q19</f>
        <v>86.33</v>
      </c>
      <c r="G46" s="223"/>
      <c r="H46" s="213"/>
      <c r="I46" s="163"/>
      <c r="J46" s="202">
        <f>F46*H46</f>
        <v>0</v>
      </c>
      <c r="K46" s="217"/>
      <c r="L46" s="200"/>
      <c r="M46" s="200"/>
      <c r="N46" s="200"/>
      <c r="O46" s="200"/>
    </row>
    <row r="47" spans="1:15">
      <c r="A47" s="172"/>
      <c r="B47" s="226"/>
      <c r="C47" s="226"/>
      <c r="D47" s="160"/>
      <c r="E47" s="160"/>
      <c r="F47" s="170"/>
      <c r="G47" s="171"/>
      <c r="H47" s="198"/>
      <c r="I47" s="163"/>
      <c r="J47" s="198"/>
      <c r="K47" s="217"/>
      <c r="L47" s="200"/>
      <c r="M47" s="200"/>
      <c r="N47" s="200"/>
      <c r="O47" s="200"/>
    </row>
    <row r="48" spans="1:15">
      <c r="A48" s="172"/>
      <c r="B48" s="226"/>
      <c r="C48" s="226"/>
      <c r="D48" s="160"/>
      <c r="E48" s="160"/>
      <c r="F48" s="170"/>
      <c r="G48" s="171"/>
      <c r="H48" s="198"/>
      <c r="I48" s="163"/>
      <c r="J48" s="198"/>
      <c r="K48" s="217"/>
      <c r="L48" s="200"/>
      <c r="M48" s="200"/>
      <c r="N48" s="200"/>
      <c r="O48" s="200"/>
    </row>
    <row r="49" spans="1:15">
      <c r="A49" s="172"/>
      <c r="B49" s="241"/>
      <c r="C49" s="241"/>
      <c r="D49" s="165"/>
      <c r="E49" s="165"/>
      <c r="F49" s="166"/>
      <c r="G49" s="167"/>
      <c r="H49" s="215"/>
      <c r="I49" s="169"/>
      <c r="J49" s="194"/>
      <c r="K49" s="217"/>
      <c r="L49" s="200"/>
      <c r="M49" s="200"/>
      <c r="N49" s="200"/>
      <c r="O49" s="200"/>
    </row>
    <row r="50" spans="1:15">
      <c r="A50" s="172"/>
      <c r="B50" s="241"/>
      <c r="C50" s="241"/>
      <c r="D50" s="160"/>
      <c r="E50" s="160"/>
      <c r="F50" s="170"/>
      <c r="G50" s="171"/>
      <c r="H50" s="198"/>
      <c r="I50" s="163"/>
      <c r="J50" s="198"/>
      <c r="K50" s="217"/>
      <c r="L50" s="200"/>
      <c r="M50" s="200"/>
      <c r="N50" s="200"/>
      <c r="O50" s="200"/>
    </row>
    <row r="51" spans="1:15" ht="51">
      <c r="A51" s="172" t="s">
        <v>61</v>
      </c>
      <c r="B51" s="241" t="s">
        <v>397</v>
      </c>
      <c r="C51" s="241"/>
      <c r="D51" s="165"/>
      <c r="E51" s="165"/>
      <c r="F51" s="166"/>
      <c r="G51" s="167"/>
      <c r="H51" s="198"/>
      <c r="I51" s="163"/>
      <c r="J51" s="198"/>
      <c r="K51" s="217"/>
      <c r="L51" s="200"/>
      <c r="M51" s="200"/>
      <c r="N51" s="200"/>
      <c r="O51" s="200"/>
    </row>
    <row r="52" spans="1:15">
      <c r="A52" s="172"/>
      <c r="B52" s="241"/>
      <c r="C52" s="241"/>
      <c r="D52" s="174" t="s">
        <v>190</v>
      </c>
      <c r="E52" s="165"/>
      <c r="F52" s="175">
        <f>R14</f>
        <v>4</v>
      </c>
      <c r="G52" s="167"/>
      <c r="H52" s="213"/>
      <c r="I52" s="163"/>
      <c r="J52" s="202">
        <f>F52*H52</f>
        <v>0</v>
      </c>
      <c r="K52" s="217"/>
      <c r="L52" s="200"/>
      <c r="M52" s="200"/>
      <c r="N52" s="200"/>
      <c r="O52" s="200"/>
    </row>
    <row r="53" spans="1:15">
      <c r="A53" s="172"/>
      <c r="B53" s="241"/>
      <c r="C53" s="241"/>
      <c r="D53" s="160"/>
      <c r="E53" s="160"/>
      <c r="F53" s="170"/>
      <c r="G53" s="171"/>
      <c r="H53" s="198"/>
      <c r="I53" s="163"/>
      <c r="J53" s="198"/>
      <c r="K53" s="217"/>
      <c r="L53" s="200"/>
      <c r="M53" s="200"/>
      <c r="N53" s="200"/>
      <c r="O53" s="200"/>
    </row>
    <row r="54" spans="1:15" ht="13.5" thickBot="1">
      <c r="A54" s="243"/>
      <c r="B54" s="244" t="s">
        <v>30</v>
      </c>
      <c r="C54" s="244"/>
      <c r="D54" s="186"/>
      <c r="E54" s="186"/>
      <c r="F54" s="234"/>
      <c r="G54" s="235"/>
      <c r="H54" s="189"/>
      <c r="I54" s="236"/>
      <c r="J54" s="189">
        <f>SUM(J46:J52)</f>
        <v>0</v>
      </c>
      <c r="K54" s="217"/>
      <c r="L54" s="200"/>
      <c r="M54" s="200"/>
      <c r="N54" s="200"/>
      <c r="O54" s="200"/>
    </row>
    <row r="55" spans="1:15" ht="13.5" thickTop="1">
      <c r="A55" s="245"/>
      <c r="B55" s="246"/>
      <c r="C55" s="246"/>
      <c r="D55" s="165"/>
      <c r="E55" s="165"/>
      <c r="F55" s="166"/>
      <c r="G55" s="167"/>
      <c r="H55" s="194"/>
      <c r="I55" s="169"/>
      <c r="J55" s="194"/>
      <c r="K55" s="242"/>
    </row>
    <row r="56" spans="1:15" ht="15.75">
      <c r="A56" s="247" t="s">
        <v>67</v>
      </c>
      <c r="B56" s="248" t="s">
        <v>31</v>
      </c>
      <c r="C56" s="248"/>
      <c r="D56" s="192"/>
      <c r="E56" s="192"/>
      <c r="F56" s="166"/>
      <c r="G56" s="167"/>
      <c r="H56" s="150"/>
      <c r="I56" s="163"/>
      <c r="J56" s="198"/>
      <c r="K56" s="242"/>
    </row>
    <row r="57" spans="1:15">
      <c r="A57" s="172"/>
      <c r="B57" s="249"/>
      <c r="C57" s="249"/>
      <c r="D57" s="250"/>
      <c r="E57" s="250"/>
      <c r="F57" s="170"/>
      <c r="G57" s="171"/>
      <c r="H57" s="150"/>
      <c r="I57" s="163"/>
      <c r="J57" s="198"/>
      <c r="K57" s="242"/>
    </row>
    <row r="58" spans="1:15" ht="25.5">
      <c r="A58" s="172" t="s">
        <v>58</v>
      </c>
      <c r="B58" s="173" t="s">
        <v>32</v>
      </c>
      <c r="C58" s="173"/>
      <c r="D58" s="251" t="s">
        <v>60</v>
      </c>
      <c r="E58" s="179"/>
      <c r="F58" s="175">
        <f>F9</f>
        <v>86.33</v>
      </c>
      <c r="G58" s="167"/>
      <c r="H58" s="213"/>
      <c r="I58" s="163"/>
      <c r="J58" s="202">
        <f>F58*H58</f>
        <v>0</v>
      </c>
      <c r="K58" s="242"/>
    </row>
    <row r="59" spans="1:15">
      <c r="A59" s="172"/>
      <c r="B59" s="173"/>
      <c r="C59" s="173"/>
      <c r="D59" s="179"/>
      <c r="E59" s="179"/>
      <c r="F59" s="170"/>
      <c r="G59" s="171"/>
      <c r="H59" s="150"/>
      <c r="I59" s="163"/>
      <c r="J59" s="198"/>
      <c r="K59" s="242"/>
    </row>
    <row r="60" spans="1:15">
      <c r="A60" s="172" t="s">
        <v>67</v>
      </c>
      <c r="B60" s="173" t="s">
        <v>33</v>
      </c>
      <c r="C60" s="173"/>
      <c r="D60" s="251" t="s">
        <v>60</v>
      </c>
      <c r="E60" s="179"/>
      <c r="F60" s="175">
        <f>F9</f>
        <v>86.33</v>
      </c>
      <c r="G60" s="167"/>
      <c r="H60" s="213"/>
      <c r="I60" s="163"/>
      <c r="J60" s="202">
        <f>F60*H60</f>
        <v>0</v>
      </c>
      <c r="K60" s="242"/>
    </row>
    <row r="61" spans="1:15">
      <c r="A61" s="172"/>
      <c r="B61" s="173"/>
      <c r="C61" s="173"/>
      <c r="D61" s="179"/>
      <c r="E61" s="179"/>
      <c r="F61" s="170"/>
      <c r="G61" s="171"/>
      <c r="H61" s="150"/>
      <c r="I61" s="163"/>
      <c r="J61" s="198"/>
      <c r="K61" s="242"/>
    </row>
    <row r="62" spans="1:15">
      <c r="A62" s="172" t="s">
        <v>68</v>
      </c>
      <c r="B62" s="173" t="s">
        <v>34</v>
      </c>
      <c r="C62" s="173"/>
      <c r="D62" s="251" t="s">
        <v>190</v>
      </c>
      <c r="E62" s="179"/>
      <c r="F62" s="175">
        <f>F49+F52</f>
        <v>4</v>
      </c>
      <c r="G62" s="167"/>
      <c r="H62" s="213"/>
      <c r="I62" s="163"/>
      <c r="J62" s="202">
        <f>F62*H62</f>
        <v>0</v>
      </c>
      <c r="K62" s="242"/>
    </row>
    <row r="63" spans="1:15">
      <c r="A63" s="172"/>
      <c r="B63" s="173"/>
      <c r="C63" s="173"/>
      <c r="D63" s="179"/>
      <c r="E63" s="179"/>
      <c r="F63" s="170"/>
      <c r="G63" s="171"/>
      <c r="H63" s="150"/>
      <c r="I63" s="163"/>
      <c r="J63" s="198"/>
      <c r="K63" s="242"/>
    </row>
    <row r="64" spans="1:15" ht="25.5">
      <c r="A64" s="172" t="s">
        <v>69</v>
      </c>
      <c r="B64" s="173" t="s">
        <v>35</v>
      </c>
      <c r="C64" s="173"/>
      <c r="D64" s="251" t="s">
        <v>60</v>
      </c>
      <c r="E64" s="179"/>
      <c r="F64" s="175">
        <f>F9</f>
        <v>86.33</v>
      </c>
      <c r="G64" s="167"/>
      <c r="H64" s="213"/>
      <c r="I64" s="163"/>
      <c r="J64" s="202">
        <f>F64*H64</f>
        <v>0</v>
      </c>
      <c r="K64" s="242"/>
    </row>
    <row r="65" spans="1:11">
      <c r="A65" s="172"/>
      <c r="B65" s="173"/>
      <c r="C65" s="173"/>
      <c r="D65" s="179"/>
      <c r="E65" s="179"/>
      <c r="F65" s="170"/>
      <c r="G65" s="171"/>
      <c r="H65" s="150"/>
      <c r="I65" s="163"/>
      <c r="J65" s="198"/>
      <c r="K65" s="242"/>
    </row>
    <row r="66" spans="1:11" ht="13.5" thickBot="1">
      <c r="A66" s="183"/>
      <c r="B66" s="252" t="s">
        <v>36</v>
      </c>
      <c r="C66" s="252"/>
      <c r="D66" s="253"/>
      <c r="E66" s="253"/>
      <c r="F66" s="234"/>
      <c r="G66" s="235"/>
      <c r="H66" s="254"/>
      <c r="I66" s="236"/>
      <c r="J66" s="189">
        <f>SUM(J58:J64)</f>
        <v>0</v>
      </c>
      <c r="K66" s="242"/>
    </row>
    <row r="67" spans="1:11" ht="13.5" thickTop="1">
      <c r="A67" s="190"/>
      <c r="B67" s="255"/>
      <c r="C67" s="255"/>
      <c r="D67" s="256"/>
      <c r="E67" s="256"/>
      <c r="F67" s="166"/>
      <c r="G67" s="167"/>
      <c r="H67" s="168"/>
      <c r="I67" s="169"/>
      <c r="J67" s="194"/>
      <c r="K67" s="242"/>
    </row>
    <row r="68" spans="1:11">
      <c r="A68" s="190"/>
      <c r="B68" s="255"/>
      <c r="C68" s="255"/>
      <c r="D68" s="256"/>
      <c r="E68" s="256"/>
      <c r="F68" s="166"/>
      <c r="G68" s="167"/>
      <c r="H68" s="168"/>
      <c r="I68" s="169"/>
      <c r="J68" s="194"/>
      <c r="K68" s="242"/>
    </row>
    <row r="69" spans="1:11">
      <c r="A69" s="190"/>
      <c r="B69" s="255"/>
      <c r="C69" s="255"/>
      <c r="D69" s="256"/>
      <c r="E69" s="256"/>
      <c r="F69" s="166"/>
      <c r="G69" s="167"/>
      <c r="H69" s="150"/>
      <c r="I69" s="163"/>
      <c r="J69" s="198"/>
      <c r="K69" s="242"/>
    </row>
    <row r="70" spans="1:11">
      <c r="A70" s="190"/>
      <c r="B70" s="255"/>
      <c r="C70" s="255"/>
      <c r="D70" s="256"/>
      <c r="E70" s="256"/>
      <c r="F70" s="166"/>
      <c r="G70" s="167"/>
      <c r="H70" s="150"/>
      <c r="I70" s="163"/>
      <c r="J70" s="198"/>
      <c r="K70" s="242"/>
    </row>
    <row r="71" spans="1:11">
      <c r="A71" s="190"/>
      <c r="B71" s="255"/>
      <c r="C71" s="255"/>
      <c r="D71" s="256"/>
      <c r="E71" s="256"/>
      <c r="F71" s="166"/>
      <c r="G71" s="167"/>
      <c r="H71" s="150"/>
      <c r="I71" s="163"/>
      <c r="J71" s="198"/>
      <c r="K71" s="242"/>
    </row>
    <row r="72" spans="1:11">
      <c r="A72" s="190"/>
      <c r="B72" s="255"/>
      <c r="C72" s="255"/>
      <c r="D72" s="256"/>
      <c r="E72" s="256"/>
      <c r="F72" s="166"/>
      <c r="G72" s="167"/>
      <c r="H72" s="150"/>
      <c r="I72" s="163"/>
      <c r="J72" s="198"/>
      <c r="K72" s="242"/>
    </row>
    <row r="73" spans="1:11">
      <c r="A73" s="190"/>
      <c r="B73" s="255"/>
      <c r="C73" s="255"/>
      <c r="D73" s="256"/>
      <c r="E73" s="256"/>
      <c r="F73" s="166"/>
      <c r="G73" s="167"/>
      <c r="H73" s="150"/>
      <c r="I73" s="163"/>
      <c r="J73" s="198"/>
      <c r="K73" s="242"/>
    </row>
    <row r="74" spans="1:11">
      <c r="A74" s="190"/>
      <c r="B74" s="255"/>
      <c r="C74" s="255"/>
      <c r="D74" s="256"/>
      <c r="E74" s="256"/>
      <c r="F74" s="166"/>
      <c r="G74" s="167"/>
      <c r="H74" s="150"/>
      <c r="I74" s="163"/>
      <c r="J74" s="198"/>
      <c r="K74" s="242"/>
    </row>
    <row r="75" spans="1:11">
      <c r="A75" s="190"/>
      <c r="B75" s="255"/>
      <c r="C75" s="255"/>
      <c r="D75" s="256"/>
      <c r="E75" s="256"/>
      <c r="F75" s="166"/>
      <c r="G75" s="167"/>
      <c r="H75" s="150"/>
      <c r="I75" s="163"/>
      <c r="J75" s="198"/>
      <c r="K75" s="242"/>
    </row>
    <row r="76" spans="1:11">
      <c r="A76" s="172"/>
      <c r="B76" s="258"/>
      <c r="C76" s="258"/>
      <c r="D76" s="257"/>
      <c r="E76" s="257"/>
      <c r="F76" s="170"/>
      <c r="G76" s="171"/>
      <c r="H76" s="150"/>
      <c r="I76" s="163"/>
      <c r="J76" s="198"/>
      <c r="K76" s="242"/>
    </row>
    <row r="77" spans="1:11">
      <c r="B77" s="242"/>
      <c r="C77" s="242"/>
      <c r="D77" s="242"/>
      <c r="E77" s="242"/>
      <c r="F77" s="206"/>
      <c r="G77" s="242"/>
      <c r="H77" s="260"/>
      <c r="I77" s="261"/>
      <c r="J77" s="262"/>
      <c r="K77" s="242"/>
    </row>
    <row r="78" spans="1:11">
      <c r="B78" s="242"/>
      <c r="C78" s="242"/>
      <c r="D78" s="242"/>
      <c r="E78" s="242"/>
      <c r="F78" s="206"/>
      <c r="G78" s="242"/>
      <c r="H78" s="260"/>
      <c r="I78" s="261"/>
      <c r="J78" s="262"/>
      <c r="K78" s="242"/>
    </row>
    <row r="79" spans="1:11">
      <c r="B79" s="242"/>
      <c r="C79" s="242"/>
      <c r="D79" s="242"/>
      <c r="E79" s="242"/>
      <c r="F79" s="206"/>
      <c r="G79" s="242"/>
      <c r="H79" s="260"/>
      <c r="I79" s="261"/>
      <c r="J79" s="262"/>
      <c r="K79" s="242"/>
    </row>
    <row r="80" spans="1:11">
      <c r="B80" s="242"/>
      <c r="C80" s="242"/>
      <c r="D80" s="242"/>
      <c r="E80" s="242"/>
      <c r="F80" s="206"/>
      <c r="G80" s="242"/>
      <c r="H80" s="260"/>
      <c r="I80" s="261"/>
      <c r="J80" s="262"/>
      <c r="K80" s="242"/>
    </row>
    <row r="81" spans="2:18">
      <c r="B81" s="242"/>
      <c r="C81" s="242"/>
      <c r="D81" s="242"/>
      <c r="E81" s="242"/>
      <c r="F81" s="206"/>
      <c r="G81" s="242"/>
      <c r="H81" s="260"/>
      <c r="I81" s="261"/>
      <c r="J81" s="262"/>
      <c r="K81" s="242"/>
      <c r="Q81" s="259"/>
      <c r="R81" s="259"/>
    </row>
    <row r="82" spans="2:18">
      <c r="B82" s="242"/>
      <c r="C82" s="242"/>
      <c r="D82" s="242"/>
      <c r="E82" s="242"/>
      <c r="F82" s="206"/>
      <c r="G82" s="242"/>
      <c r="H82" s="260"/>
      <c r="I82" s="261"/>
      <c r="J82" s="262"/>
      <c r="K82" s="242"/>
      <c r="Q82" s="259"/>
      <c r="R82" s="259"/>
    </row>
    <row r="83" spans="2:18">
      <c r="B83" s="242"/>
      <c r="C83" s="242"/>
      <c r="D83" s="242"/>
      <c r="E83" s="242"/>
      <c r="F83" s="206"/>
      <c r="G83" s="242"/>
      <c r="H83" s="260"/>
      <c r="I83" s="261"/>
      <c r="J83" s="262"/>
      <c r="K83" s="242"/>
      <c r="Q83" s="259"/>
      <c r="R83" s="259"/>
    </row>
    <row r="84" spans="2:18">
      <c r="B84" s="242"/>
      <c r="C84" s="242"/>
      <c r="D84" s="242"/>
      <c r="E84" s="242"/>
      <c r="F84" s="206"/>
      <c r="G84" s="242"/>
      <c r="H84" s="260"/>
      <c r="I84" s="261"/>
      <c r="J84" s="262"/>
      <c r="K84" s="242"/>
      <c r="Q84" s="259"/>
      <c r="R84" s="259"/>
    </row>
    <row r="85" spans="2:18">
      <c r="B85" s="242"/>
      <c r="C85" s="242"/>
      <c r="D85" s="242"/>
      <c r="E85" s="242"/>
      <c r="F85" s="206"/>
      <c r="G85" s="242"/>
      <c r="H85" s="260"/>
      <c r="I85" s="261"/>
      <c r="J85" s="262"/>
      <c r="K85" s="242"/>
      <c r="Q85" s="259"/>
      <c r="R85" s="259"/>
    </row>
    <row r="86" spans="2:18">
      <c r="B86" s="242"/>
      <c r="C86" s="242"/>
      <c r="D86" s="242"/>
      <c r="E86" s="242"/>
      <c r="F86" s="206"/>
      <c r="G86" s="242"/>
      <c r="H86" s="260"/>
      <c r="I86" s="261"/>
      <c r="J86" s="262"/>
      <c r="K86" s="242"/>
      <c r="Q86" s="259"/>
      <c r="R86" s="259"/>
    </row>
    <row r="87" spans="2:18">
      <c r="B87" s="242"/>
      <c r="C87" s="242"/>
      <c r="D87" s="242"/>
      <c r="E87" s="242"/>
      <c r="F87" s="206"/>
      <c r="G87" s="242"/>
      <c r="H87" s="260"/>
      <c r="I87" s="261"/>
      <c r="J87" s="262"/>
      <c r="K87" s="242"/>
      <c r="Q87" s="259"/>
      <c r="R87" s="259"/>
    </row>
    <row r="88" spans="2:18">
      <c r="B88" s="242"/>
      <c r="C88" s="242"/>
      <c r="D88" s="242"/>
      <c r="E88" s="242"/>
      <c r="F88" s="206"/>
      <c r="G88" s="242"/>
      <c r="H88" s="260"/>
      <c r="I88" s="261"/>
      <c r="J88" s="262"/>
      <c r="K88" s="242"/>
      <c r="Q88" s="259"/>
      <c r="R88" s="259"/>
    </row>
    <row r="89" spans="2:18">
      <c r="B89" s="242"/>
      <c r="C89" s="242"/>
      <c r="D89" s="242"/>
      <c r="E89" s="242"/>
      <c r="F89" s="206"/>
      <c r="G89" s="242"/>
      <c r="H89" s="260"/>
      <c r="I89" s="261"/>
      <c r="J89" s="262"/>
      <c r="K89" s="242"/>
      <c r="Q89" s="259"/>
      <c r="R89" s="259"/>
    </row>
    <row r="90" spans="2:18">
      <c r="B90" s="242"/>
      <c r="C90" s="242"/>
      <c r="D90" s="242"/>
      <c r="E90" s="242"/>
      <c r="F90" s="206"/>
      <c r="G90" s="242"/>
      <c r="H90" s="260"/>
      <c r="I90" s="261"/>
      <c r="J90" s="262"/>
      <c r="K90" s="242"/>
      <c r="Q90" s="259"/>
      <c r="R90" s="259"/>
    </row>
    <row r="91" spans="2:18">
      <c r="B91" s="242"/>
      <c r="C91" s="242"/>
      <c r="D91" s="242"/>
      <c r="E91" s="242"/>
      <c r="F91" s="206"/>
      <c r="G91" s="242"/>
      <c r="H91" s="260"/>
      <c r="I91" s="261"/>
      <c r="J91" s="262"/>
      <c r="K91" s="263"/>
      <c r="L91" s="263"/>
      <c r="M91" s="264"/>
      <c r="Q91" s="259"/>
      <c r="R91" s="259"/>
    </row>
    <row r="92" spans="2:18">
      <c r="B92" s="242"/>
      <c r="C92" s="242"/>
      <c r="D92" s="242"/>
      <c r="E92" s="242"/>
      <c r="F92" s="206"/>
      <c r="G92" s="242"/>
      <c r="H92" s="260"/>
      <c r="I92" s="261"/>
      <c r="J92" s="262"/>
      <c r="K92" s="265"/>
      <c r="L92" s="265"/>
      <c r="M92" s="264"/>
    </row>
    <row r="93" spans="2:18">
      <c r="B93" s="242"/>
      <c r="C93" s="242"/>
      <c r="D93" s="242"/>
      <c r="E93" s="242"/>
      <c r="F93" s="206"/>
      <c r="G93" s="242"/>
      <c r="H93" s="260"/>
      <c r="I93" s="261"/>
      <c r="J93" s="262"/>
      <c r="K93" s="261"/>
      <c r="L93" s="261"/>
      <c r="M93" s="264"/>
    </row>
    <row r="94" spans="2:18">
      <c r="B94" s="242"/>
      <c r="C94" s="242"/>
      <c r="D94" s="242"/>
      <c r="E94" s="242"/>
      <c r="F94" s="206"/>
      <c r="G94" s="242"/>
      <c r="H94" s="260"/>
      <c r="I94" s="261"/>
      <c r="J94" s="262"/>
      <c r="K94" s="242"/>
    </row>
    <row r="95" spans="2:18">
      <c r="B95" s="242"/>
      <c r="C95" s="242"/>
      <c r="D95" s="242"/>
      <c r="E95" s="242"/>
      <c r="F95" s="206"/>
      <c r="G95" s="242"/>
      <c r="H95" s="260"/>
      <c r="I95" s="261"/>
      <c r="J95" s="262"/>
      <c r="K95" s="242"/>
    </row>
    <row r="96" spans="2:18">
      <c r="B96" s="242"/>
      <c r="C96" s="242"/>
      <c r="D96" s="242"/>
      <c r="E96" s="242"/>
      <c r="F96" s="206"/>
      <c r="G96" s="242"/>
      <c r="H96" s="260"/>
      <c r="I96" s="261"/>
      <c r="J96" s="262"/>
      <c r="K96" s="242"/>
    </row>
    <row r="97" spans="2:11">
      <c r="B97" s="242"/>
      <c r="C97" s="242"/>
      <c r="D97" s="242"/>
      <c r="E97" s="242"/>
      <c r="F97" s="206"/>
      <c r="G97" s="242"/>
      <c r="H97" s="260"/>
      <c r="I97" s="261"/>
      <c r="J97" s="262"/>
      <c r="K97" s="242"/>
    </row>
    <row r="98" spans="2:11">
      <c r="B98" s="242"/>
      <c r="C98" s="242"/>
      <c r="D98" s="242"/>
      <c r="E98" s="242"/>
      <c r="F98" s="206"/>
      <c r="G98" s="242"/>
      <c r="H98" s="260"/>
      <c r="I98" s="261"/>
      <c r="J98" s="262"/>
      <c r="K98" s="242"/>
    </row>
    <row r="99" spans="2:11">
      <c r="B99" s="242"/>
      <c r="C99" s="242"/>
      <c r="D99" s="242"/>
      <c r="E99" s="242"/>
      <c r="F99" s="206"/>
      <c r="G99" s="242"/>
      <c r="H99" s="260"/>
      <c r="I99" s="261"/>
      <c r="J99" s="262"/>
      <c r="K99" s="242"/>
    </row>
    <row r="100" spans="2:11">
      <c r="B100" s="242"/>
      <c r="C100" s="242"/>
      <c r="D100" s="242"/>
      <c r="E100" s="242"/>
      <c r="F100" s="206"/>
      <c r="G100" s="242"/>
      <c r="H100" s="260"/>
      <c r="I100" s="261"/>
      <c r="J100" s="262"/>
      <c r="K100" s="242"/>
    </row>
    <row r="101" spans="2:11">
      <c r="B101" s="242"/>
      <c r="C101" s="242"/>
      <c r="D101" s="242"/>
      <c r="E101" s="242"/>
      <c r="F101" s="206"/>
      <c r="G101" s="242"/>
      <c r="H101" s="260"/>
      <c r="I101" s="261"/>
      <c r="J101" s="262"/>
      <c r="K101" s="242"/>
    </row>
    <row r="102" spans="2:11">
      <c r="B102" s="242"/>
      <c r="C102" s="242"/>
      <c r="D102" s="242"/>
      <c r="E102" s="242"/>
      <c r="F102" s="206"/>
      <c r="G102" s="242"/>
      <c r="H102" s="260"/>
      <c r="I102" s="261"/>
      <c r="J102" s="262"/>
      <c r="K102" s="242"/>
    </row>
    <row r="103" spans="2:11">
      <c r="B103" s="242"/>
      <c r="C103" s="242"/>
      <c r="D103" s="242"/>
      <c r="E103" s="242"/>
      <c r="F103" s="206"/>
      <c r="G103" s="242"/>
      <c r="H103" s="260"/>
      <c r="I103" s="261"/>
      <c r="J103" s="262"/>
      <c r="K103" s="242"/>
    </row>
    <row r="104" spans="2:11">
      <c r="B104" s="242"/>
      <c r="C104" s="242"/>
      <c r="D104" s="242"/>
      <c r="E104" s="242"/>
      <c r="F104" s="206"/>
      <c r="G104" s="242"/>
      <c r="H104" s="260"/>
      <c r="I104" s="261"/>
      <c r="J104" s="262"/>
      <c r="K104" s="242"/>
    </row>
    <row r="105" spans="2:11">
      <c r="B105" s="242"/>
      <c r="C105" s="242"/>
      <c r="D105" s="242"/>
      <c r="E105" s="242"/>
      <c r="F105" s="206"/>
      <c r="G105" s="242"/>
      <c r="H105" s="260"/>
      <c r="I105" s="261"/>
      <c r="J105" s="262"/>
      <c r="K105" s="242"/>
    </row>
    <row r="106" spans="2:11">
      <c r="B106" s="242"/>
      <c r="C106" s="242"/>
      <c r="D106" s="242"/>
      <c r="E106" s="242"/>
      <c r="F106" s="206"/>
      <c r="G106" s="242"/>
      <c r="H106" s="260"/>
      <c r="I106" s="261"/>
      <c r="J106" s="262"/>
      <c r="K106" s="242"/>
    </row>
    <row r="107" spans="2:11">
      <c r="B107" s="242"/>
      <c r="C107" s="242"/>
      <c r="D107" s="242"/>
      <c r="E107" s="242"/>
      <c r="F107" s="206"/>
      <c r="G107" s="242"/>
      <c r="H107" s="260"/>
      <c r="I107" s="261"/>
      <c r="J107" s="262"/>
      <c r="K107" s="242"/>
    </row>
    <row r="108" spans="2:11">
      <c r="B108" s="242"/>
      <c r="C108" s="242"/>
      <c r="D108" s="242"/>
      <c r="E108" s="242"/>
      <c r="F108" s="206"/>
      <c r="G108" s="242"/>
      <c r="H108" s="260"/>
      <c r="I108" s="261"/>
      <c r="J108" s="262"/>
      <c r="K108" s="242"/>
    </row>
    <row r="109" spans="2:11">
      <c r="B109" s="242"/>
      <c r="C109" s="242"/>
      <c r="D109" s="242"/>
      <c r="E109" s="242"/>
      <c r="F109" s="206"/>
      <c r="G109" s="242"/>
      <c r="H109" s="260"/>
      <c r="I109" s="261"/>
      <c r="J109" s="262"/>
      <c r="K109" s="242"/>
    </row>
    <row r="110" spans="2:11">
      <c r="B110" s="242"/>
      <c r="C110" s="242"/>
      <c r="D110" s="242"/>
      <c r="E110" s="242"/>
      <c r="F110" s="206"/>
      <c r="G110" s="242"/>
      <c r="H110" s="260"/>
      <c r="I110" s="261"/>
      <c r="J110" s="262"/>
      <c r="K110" s="242"/>
    </row>
    <row r="111" spans="2:11">
      <c r="B111" s="242"/>
      <c r="C111" s="242"/>
      <c r="D111" s="242"/>
      <c r="E111" s="242"/>
      <c r="F111" s="206"/>
      <c r="G111" s="242"/>
      <c r="H111" s="260"/>
      <c r="I111" s="261"/>
      <c r="J111" s="262"/>
      <c r="K111" s="242"/>
    </row>
    <row r="112" spans="2:11">
      <c r="B112" s="242"/>
      <c r="C112" s="242"/>
      <c r="D112" s="242"/>
      <c r="E112" s="242"/>
      <c r="F112" s="206"/>
      <c r="G112" s="242"/>
      <c r="H112" s="260"/>
      <c r="I112" s="261"/>
      <c r="J112" s="262"/>
      <c r="K112" s="242"/>
    </row>
    <row r="113" spans="2:11">
      <c r="B113" s="242"/>
      <c r="C113" s="242"/>
      <c r="D113" s="242"/>
      <c r="E113" s="242"/>
      <c r="F113" s="206"/>
      <c r="G113" s="242"/>
      <c r="H113" s="260"/>
      <c r="I113" s="261"/>
      <c r="J113" s="262"/>
      <c r="K113" s="242"/>
    </row>
    <row r="114" spans="2:11">
      <c r="B114" s="242"/>
      <c r="C114" s="242"/>
      <c r="D114" s="242"/>
      <c r="E114" s="242"/>
      <c r="F114" s="206"/>
      <c r="G114" s="242"/>
      <c r="H114" s="260"/>
      <c r="I114" s="261"/>
      <c r="J114" s="262"/>
      <c r="K114" s="242"/>
    </row>
    <row r="115" spans="2:11">
      <c r="B115" s="242"/>
      <c r="C115" s="242"/>
      <c r="D115" s="242"/>
      <c r="E115" s="242"/>
      <c r="F115" s="206"/>
      <c r="G115" s="242"/>
      <c r="H115" s="260"/>
      <c r="I115" s="261"/>
      <c r="J115" s="262"/>
      <c r="K115" s="242"/>
    </row>
    <row r="116" spans="2:11">
      <c r="D116" s="242"/>
      <c r="E116" s="242"/>
      <c r="F116" s="206"/>
      <c r="G116" s="242"/>
      <c r="H116" s="260"/>
      <c r="I116" s="261"/>
      <c r="J116" s="262"/>
      <c r="K116" s="242"/>
    </row>
    <row r="117" spans="2:11">
      <c r="D117" s="242"/>
      <c r="E117" s="242"/>
      <c r="F117" s="206"/>
      <c r="G117" s="242"/>
      <c r="H117" s="260"/>
      <c r="I117" s="261"/>
      <c r="J117" s="262"/>
      <c r="K117" s="242"/>
    </row>
    <row r="118" spans="2:11">
      <c r="D118" s="242"/>
      <c r="E118" s="242"/>
      <c r="F118" s="206"/>
      <c r="G118" s="242"/>
      <c r="H118" s="260"/>
      <c r="I118" s="261"/>
      <c r="J118" s="262"/>
      <c r="K118" s="242"/>
    </row>
    <row r="119" spans="2:11">
      <c r="D119" s="242"/>
      <c r="E119" s="242"/>
      <c r="F119" s="206"/>
      <c r="G119" s="242"/>
      <c r="H119" s="260"/>
      <c r="I119" s="261"/>
      <c r="J119" s="262"/>
      <c r="K119" s="242"/>
    </row>
    <row r="120" spans="2:11">
      <c r="D120" s="242"/>
      <c r="E120" s="242"/>
      <c r="F120" s="206"/>
      <c r="G120" s="242"/>
      <c r="H120" s="260"/>
      <c r="I120" s="261"/>
      <c r="J120" s="262"/>
      <c r="K120" s="242"/>
    </row>
    <row r="121" spans="2:11">
      <c r="D121" s="242"/>
      <c r="E121" s="242"/>
      <c r="F121" s="206"/>
      <c r="G121" s="242"/>
      <c r="H121" s="260"/>
      <c r="I121" s="261"/>
      <c r="J121" s="262"/>
      <c r="K121" s="242"/>
    </row>
    <row r="122" spans="2:11">
      <c r="D122" s="242"/>
      <c r="E122" s="242"/>
      <c r="F122" s="206"/>
      <c r="G122" s="242"/>
      <c r="H122" s="260"/>
      <c r="I122" s="261"/>
      <c r="J122" s="262"/>
      <c r="K122" s="242"/>
    </row>
    <row r="123" spans="2:11">
      <c r="D123" s="242"/>
      <c r="E123" s="242"/>
      <c r="F123" s="206"/>
      <c r="G123" s="242"/>
      <c r="H123" s="260"/>
      <c r="I123" s="261"/>
      <c r="J123" s="262"/>
      <c r="K123" s="242"/>
    </row>
    <row r="124" spans="2:11">
      <c r="D124" s="242"/>
      <c r="E124" s="242"/>
      <c r="F124" s="206"/>
      <c r="G124" s="242"/>
      <c r="H124" s="260"/>
      <c r="I124" s="261"/>
      <c r="J124" s="262"/>
      <c r="K124" s="242"/>
    </row>
    <row r="125" spans="2:11">
      <c r="D125" s="242"/>
      <c r="E125" s="242"/>
      <c r="F125" s="206"/>
      <c r="G125" s="242"/>
      <c r="H125" s="260"/>
      <c r="I125" s="261"/>
      <c r="J125" s="262"/>
      <c r="K125" s="242"/>
    </row>
    <row r="126" spans="2:11">
      <c r="D126" s="242"/>
      <c r="E126" s="242"/>
      <c r="F126" s="206"/>
      <c r="G126" s="242"/>
      <c r="H126" s="260"/>
      <c r="I126" s="261"/>
      <c r="J126" s="262"/>
      <c r="K126" s="242"/>
    </row>
    <row r="127" spans="2:11">
      <c r="D127" s="242"/>
      <c r="E127" s="242"/>
      <c r="F127" s="206"/>
      <c r="G127" s="242"/>
      <c r="H127" s="260"/>
      <c r="I127" s="261"/>
      <c r="J127" s="262"/>
      <c r="K127" s="242"/>
    </row>
    <row r="128" spans="2:11">
      <c r="D128" s="242"/>
      <c r="E128" s="242"/>
      <c r="F128" s="206"/>
      <c r="G128" s="242"/>
      <c r="H128" s="260"/>
      <c r="I128" s="261"/>
      <c r="J128" s="262"/>
      <c r="K128" s="242"/>
    </row>
    <row r="129" spans="4:11">
      <c r="D129" s="242"/>
      <c r="E129" s="242"/>
      <c r="F129" s="206"/>
      <c r="G129" s="242"/>
      <c r="H129" s="260"/>
      <c r="I129" s="261"/>
      <c r="J129" s="262"/>
      <c r="K129" s="242"/>
    </row>
    <row r="130" spans="4:11">
      <c r="D130" s="242"/>
      <c r="E130" s="242"/>
      <c r="F130" s="206"/>
      <c r="G130" s="242"/>
      <c r="H130" s="260"/>
      <c r="I130" s="261"/>
      <c r="J130" s="262"/>
      <c r="K130" s="242"/>
    </row>
    <row r="131" spans="4:11">
      <c r="D131" s="242"/>
      <c r="E131" s="242"/>
      <c r="F131" s="206"/>
      <c r="G131" s="242"/>
      <c r="H131" s="260"/>
      <c r="I131" s="261"/>
      <c r="J131" s="262"/>
      <c r="K131" s="242"/>
    </row>
    <row r="132" spans="4:11">
      <c r="D132" s="242"/>
      <c r="E132" s="242"/>
      <c r="F132" s="206"/>
      <c r="G132" s="242"/>
      <c r="H132" s="260"/>
      <c r="I132" s="261"/>
      <c r="J132" s="262"/>
      <c r="K132" s="242"/>
    </row>
    <row r="133" spans="4:11">
      <c r="D133" s="242"/>
      <c r="E133" s="242"/>
      <c r="F133" s="206"/>
      <c r="G133" s="242"/>
      <c r="H133" s="260"/>
      <c r="I133" s="261"/>
      <c r="J133" s="262"/>
    </row>
    <row r="134" spans="4:11">
      <c r="D134" s="242"/>
      <c r="E134" s="242"/>
      <c r="F134" s="206"/>
      <c r="G134" s="242"/>
      <c r="H134" s="260"/>
      <c r="I134" s="261"/>
      <c r="J134" s="262"/>
    </row>
    <row r="135" spans="4:11">
      <c r="D135" s="242"/>
      <c r="E135" s="242"/>
      <c r="F135" s="206"/>
      <c r="G135" s="242"/>
      <c r="H135" s="260"/>
      <c r="I135" s="261"/>
      <c r="J135" s="262"/>
    </row>
    <row r="136" spans="4:11">
      <c r="D136" s="242"/>
      <c r="E136" s="242"/>
      <c r="F136" s="206"/>
      <c r="G136" s="242"/>
      <c r="H136" s="260"/>
      <c r="I136" s="261"/>
      <c r="J136" s="262"/>
    </row>
    <row r="137" spans="4:11">
      <c r="D137" s="242"/>
      <c r="E137" s="242"/>
      <c r="F137" s="206"/>
      <c r="G137" s="242"/>
      <c r="H137" s="260"/>
      <c r="I137" s="261"/>
      <c r="J137" s="262"/>
    </row>
    <row r="138" spans="4:11">
      <c r="D138" s="242"/>
      <c r="E138" s="242"/>
      <c r="F138" s="206"/>
      <c r="G138" s="242"/>
      <c r="H138" s="260"/>
      <c r="I138" s="261"/>
      <c r="J138" s="262"/>
    </row>
    <row r="139" spans="4:11">
      <c r="D139" s="242"/>
      <c r="E139" s="242"/>
      <c r="F139" s="206"/>
      <c r="G139" s="242"/>
      <c r="H139" s="260"/>
      <c r="I139" s="261"/>
      <c r="J139" s="262"/>
    </row>
    <row r="140" spans="4:11">
      <c r="D140" s="242"/>
      <c r="E140" s="242"/>
      <c r="F140" s="206"/>
      <c r="G140" s="242"/>
      <c r="H140" s="260"/>
      <c r="I140" s="266"/>
      <c r="J140" s="262"/>
    </row>
    <row r="141" spans="4:11">
      <c r="D141" s="242"/>
      <c r="E141" s="242"/>
      <c r="F141" s="206"/>
      <c r="G141" s="242"/>
      <c r="H141" s="260"/>
      <c r="I141" s="266"/>
      <c r="J141" s="262"/>
    </row>
    <row r="142" spans="4:11">
      <c r="D142" s="242"/>
      <c r="E142" s="242"/>
      <c r="F142" s="206"/>
      <c r="G142" s="242"/>
      <c r="H142" s="260"/>
      <c r="I142" s="266"/>
      <c r="J142" s="262"/>
    </row>
    <row r="143" spans="4:11">
      <c r="D143" s="242"/>
      <c r="E143" s="242"/>
      <c r="F143" s="206"/>
      <c r="G143" s="242"/>
      <c r="H143" s="260"/>
      <c r="I143" s="266"/>
      <c r="J143" s="262"/>
    </row>
    <row r="144" spans="4:11">
      <c r="D144" s="242"/>
      <c r="E144" s="242"/>
      <c r="F144" s="206"/>
      <c r="G144" s="242"/>
      <c r="H144" s="260"/>
      <c r="I144" s="266"/>
      <c r="J144" s="262"/>
    </row>
    <row r="145" spans="4:10">
      <c r="D145" s="242"/>
      <c r="E145" s="242"/>
      <c r="F145" s="206"/>
      <c r="G145" s="242"/>
      <c r="H145" s="260"/>
      <c r="I145" s="266"/>
      <c r="J145" s="262"/>
    </row>
    <row r="146" spans="4:10">
      <c r="D146" s="242"/>
      <c r="E146" s="242"/>
      <c r="F146" s="206"/>
      <c r="G146" s="242"/>
      <c r="H146" s="260"/>
      <c r="I146" s="266"/>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62"/>
    </row>
    <row r="184" spans="4:10">
      <c r="D184" s="242"/>
      <c r="E184" s="242"/>
      <c r="F184" s="206"/>
      <c r="G184" s="242"/>
      <c r="H184" s="260"/>
      <c r="I184" s="266"/>
      <c r="J184" s="262"/>
    </row>
    <row r="185" spans="4:10">
      <c r="D185" s="242"/>
      <c r="E185" s="242"/>
      <c r="F185" s="206"/>
      <c r="G185" s="242"/>
      <c r="H185" s="260"/>
      <c r="I185" s="266"/>
      <c r="J185" s="206"/>
    </row>
    <row r="186" spans="4:10">
      <c r="D186" s="242"/>
      <c r="E186" s="242"/>
      <c r="F186" s="206"/>
      <c r="G186" s="242"/>
      <c r="H186" s="260"/>
      <c r="I186" s="266"/>
      <c r="J186" s="206"/>
    </row>
    <row r="187" spans="4:10">
      <c r="D187" s="242"/>
      <c r="E187" s="242"/>
      <c r="F187" s="206"/>
      <c r="G187" s="242"/>
      <c r="H187" s="260"/>
      <c r="I187" s="266"/>
      <c r="J187" s="206"/>
    </row>
    <row r="188" spans="4:10">
      <c r="D188" s="242"/>
      <c r="E188" s="242"/>
      <c r="F188" s="206"/>
      <c r="G188" s="242"/>
      <c r="H188" s="260"/>
      <c r="I188" s="266"/>
      <c r="J188" s="206"/>
    </row>
    <row r="189" spans="4:10">
      <c r="D189" s="242"/>
      <c r="E189" s="242"/>
      <c r="F189" s="206"/>
      <c r="G189" s="242"/>
      <c r="H189" s="260"/>
      <c r="I189" s="266"/>
      <c r="J189" s="206"/>
    </row>
    <row r="190" spans="4:10">
      <c r="D190" s="242"/>
      <c r="E190" s="242"/>
      <c r="F190" s="206"/>
      <c r="G190" s="242"/>
      <c r="H190" s="260"/>
      <c r="I190" s="266"/>
      <c r="J190" s="206"/>
    </row>
    <row r="191" spans="4:10">
      <c r="D191" s="242"/>
      <c r="E191" s="242"/>
      <c r="F191" s="206"/>
      <c r="G191" s="242"/>
      <c r="H191" s="260"/>
      <c r="I191" s="266"/>
      <c r="J191" s="206"/>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60"/>
      <c r="I253" s="266"/>
      <c r="J253" s="206"/>
    </row>
    <row r="254" spans="4:10">
      <c r="D254" s="242"/>
      <c r="E254" s="242"/>
      <c r="F254" s="206"/>
      <c r="G254" s="242"/>
      <c r="H254" s="260"/>
      <c r="I254" s="266"/>
      <c r="J254" s="206"/>
    </row>
    <row r="255" spans="4:10">
      <c r="D255" s="242"/>
      <c r="E255" s="242"/>
      <c r="F255" s="206"/>
      <c r="G255" s="242"/>
      <c r="H255" s="206"/>
      <c r="I255" s="266"/>
      <c r="J255" s="206"/>
    </row>
    <row r="256" spans="4:10">
      <c r="D256" s="242"/>
      <c r="E256" s="242"/>
      <c r="F256" s="206"/>
      <c r="G256" s="242"/>
      <c r="H256" s="206"/>
      <c r="I256" s="266"/>
      <c r="J256" s="206"/>
    </row>
    <row r="257" spans="4:10">
      <c r="D257" s="242"/>
      <c r="E257" s="242"/>
      <c r="F257" s="206"/>
      <c r="G257" s="242"/>
      <c r="H257" s="206"/>
      <c r="I257" s="266"/>
      <c r="J257" s="206"/>
    </row>
    <row r="258" spans="4:10">
      <c r="D258" s="242"/>
      <c r="E258" s="242"/>
      <c r="F258" s="206"/>
      <c r="G258" s="242"/>
      <c r="H258" s="206"/>
      <c r="I258" s="266"/>
      <c r="J258" s="206"/>
    </row>
    <row r="259" spans="4:10">
      <c r="D259" s="242"/>
      <c r="E259" s="242"/>
      <c r="F259" s="206"/>
      <c r="G259" s="242"/>
      <c r="H259" s="206"/>
      <c r="I259" s="266"/>
      <c r="J259" s="206"/>
    </row>
    <row r="260" spans="4:10">
      <c r="D260" s="242"/>
      <c r="E260" s="242"/>
      <c r="F260" s="206"/>
      <c r="G260" s="242"/>
      <c r="H260" s="206"/>
      <c r="I260" s="266"/>
      <c r="J260" s="206"/>
    </row>
    <row r="261" spans="4:10">
      <c r="D261" s="242"/>
      <c r="E261" s="242"/>
      <c r="F261" s="206"/>
      <c r="G261" s="242"/>
      <c r="H261" s="206"/>
      <c r="I261" s="266"/>
      <c r="J261" s="206"/>
    </row>
    <row r="262" spans="4:10">
      <c r="D262" s="242"/>
      <c r="E262" s="242"/>
      <c r="F262" s="206"/>
      <c r="G262" s="242"/>
      <c r="H262" s="206"/>
      <c r="I262" s="266"/>
      <c r="J262" s="206"/>
    </row>
    <row r="263" spans="4:10">
      <c r="D263" s="242"/>
      <c r="E263" s="242"/>
      <c r="F263" s="206"/>
      <c r="G263" s="242"/>
      <c r="H263" s="206"/>
      <c r="I263" s="266"/>
      <c r="J263" s="206"/>
    </row>
    <row r="264" spans="4:10">
      <c r="D264" s="242"/>
      <c r="E264" s="242"/>
      <c r="F264" s="206"/>
      <c r="G264" s="242"/>
      <c r="H264" s="206"/>
      <c r="I264" s="266"/>
      <c r="J264" s="206"/>
    </row>
    <row r="265" spans="4:10">
      <c r="D265" s="242"/>
      <c r="E265" s="242"/>
      <c r="F265" s="206"/>
      <c r="G265" s="242"/>
      <c r="H265" s="206"/>
      <c r="I265" s="266"/>
      <c r="J265" s="206"/>
    </row>
    <row r="266" spans="4:10">
      <c r="D266" s="242"/>
      <c r="E266" s="242"/>
      <c r="F266" s="206"/>
      <c r="G266" s="242"/>
      <c r="H266" s="206"/>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D272" s="242"/>
      <c r="E272" s="242"/>
      <c r="F272" s="206"/>
      <c r="G272" s="242"/>
      <c r="H272" s="206"/>
      <c r="I272" s="266"/>
      <c r="J272" s="206"/>
    </row>
    <row r="273" spans="4:10">
      <c r="D273" s="242"/>
      <c r="E273" s="242"/>
      <c r="F273" s="206"/>
      <c r="G273" s="242"/>
      <c r="H273" s="206"/>
      <c r="I273" s="266"/>
      <c r="J273" s="206"/>
    </row>
    <row r="274" spans="4:10">
      <c r="D274" s="242"/>
      <c r="E274" s="242"/>
      <c r="F274" s="206"/>
      <c r="G274" s="242"/>
      <c r="H274" s="206"/>
      <c r="I274" s="266"/>
      <c r="J274" s="206"/>
    </row>
    <row r="275" spans="4:10">
      <c r="D275" s="242"/>
      <c r="E275" s="242"/>
      <c r="F275" s="206"/>
      <c r="G275" s="242"/>
      <c r="H275" s="206"/>
      <c r="I275" s="266"/>
      <c r="J275" s="206"/>
    </row>
    <row r="276" spans="4:10">
      <c r="D276" s="242"/>
      <c r="E276" s="242"/>
      <c r="F276" s="206"/>
      <c r="G276" s="242"/>
      <c r="H276" s="206"/>
      <c r="I276" s="266"/>
      <c r="J276" s="206"/>
    </row>
    <row r="277" spans="4:10">
      <c r="D277" s="242"/>
      <c r="E277" s="242"/>
      <c r="F277" s="206"/>
      <c r="G277" s="242"/>
      <c r="H277" s="206"/>
      <c r="I277" s="266"/>
      <c r="J277" s="206"/>
    </row>
    <row r="278" spans="4:10">
      <c r="D278" s="242"/>
      <c r="E278" s="242"/>
      <c r="F278" s="206"/>
      <c r="G278" s="242"/>
      <c r="H278" s="206"/>
      <c r="I278" s="266"/>
      <c r="J278" s="206"/>
    </row>
    <row r="279" spans="4:10">
      <c r="I279" s="267"/>
    </row>
    <row r="280" spans="4:10">
      <c r="I280" s="267"/>
    </row>
    <row r="281" spans="4:10">
      <c r="I281" s="267"/>
    </row>
    <row r="282" spans="4:10">
      <c r="I282" s="267"/>
    </row>
    <row r="283" spans="4:10">
      <c r="I283" s="267"/>
    </row>
    <row r="284" spans="4:10">
      <c r="I284" s="267"/>
    </row>
    <row r="285" spans="4:10">
      <c r="I285" s="267"/>
    </row>
    <row r="286" spans="4:10">
      <c r="I286" s="267"/>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rowBreaks count="1" manualBreakCount="1">
    <brk id="58"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287"/>
  <sheetViews>
    <sheetView view="pageBreakPreview" topLeftCell="A49" zoomScale="130" zoomScaleSheetLayoutView="130" workbookViewId="0">
      <selection activeCell="H66" sqref="H66"/>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41</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Q19</f>
        <v>21.49</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f>R13+R14</f>
        <v>2</v>
      </c>
      <c r="G11" s="167"/>
      <c r="H11" s="176"/>
      <c r="I11" s="163"/>
      <c r="J11" s="176">
        <f>F11*H11</f>
        <v>0</v>
      </c>
      <c r="K11" s="136"/>
      <c r="L11" s="136" t="s">
        <v>461</v>
      </c>
      <c r="N11">
        <v>0</v>
      </c>
      <c r="O11">
        <v>2.82</v>
      </c>
      <c r="P11">
        <v>0</v>
      </c>
      <c r="Q11">
        <v>60.01</v>
      </c>
      <c r="R11">
        <v>59.32</v>
      </c>
      <c r="S11">
        <v>0.7</v>
      </c>
      <c r="T11">
        <v>0</v>
      </c>
      <c r="U11">
        <v>0</v>
      </c>
      <c r="V11">
        <v>0</v>
      </c>
      <c r="W11">
        <v>58.96</v>
      </c>
      <c r="X11">
        <v>35.72</v>
      </c>
      <c r="Y11">
        <v>10.67</v>
      </c>
      <c r="Z11">
        <v>10.35</v>
      </c>
      <c r="AA11">
        <v>2.2200000000000002</v>
      </c>
      <c r="AB11">
        <v>35.72</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1</v>
      </c>
      <c r="G13" s="167"/>
      <c r="H13" s="176"/>
      <c r="I13" s="182"/>
      <c r="J13" s="176">
        <f>F13*H13</f>
        <v>0</v>
      </c>
      <c r="K13" s="136"/>
      <c r="L13" s="136" t="s">
        <v>179</v>
      </c>
      <c r="M13" t="s">
        <v>389</v>
      </c>
      <c r="N13">
        <v>1</v>
      </c>
      <c r="O13" t="s">
        <v>390</v>
      </c>
      <c r="P13" t="s">
        <v>391</v>
      </c>
      <c r="Q13">
        <v>1000</v>
      </c>
      <c r="R13">
        <v>2</v>
      </c>
    </row>
    <row r="14" spans="1:28" ht="14.25">
      <c r="A14" s="172"/>
      <c r="B14" s="173"/>
      <c r="C14" s="173"/>
      <c r="D14" s="165"/>
      <c r="E14" s="165"/>
      <c r="F14" s="166"/>
      <c r="G14" s="167"/>
      <c r="H14" s="168"/>
      <c r="I14" s="182"/>
      <c r="J14" s="168"/>
      <c r="K14" s="136"/>
      <c r="L14" s="136" t="s">
        <v>177</v>
      </c>
      <c r="M14" t="s">
        <v>389</v>
      </c>
      <c r="N14">
        <v>11</v>
      </c>
      <c r="O14" t="s">
        <v>392</v>
      </c>
      <c r="P14" t="s">
        <v>391</v>
      </c>
      <c r="Q14">
        <v>1000</v>
      </c>
      <c r="R14">
        <v>0</v>
      </c>
    </row>
    <row r="15" spans="1:28" ht="14.25">
      <c r="A15" s="172" t="s">
        <v>67</v>
      </c>
      <c r="B15" s="173" t="s">
        <v>74</v>
      </c>
      <c r="C15" s="173"/>
      <c r="D15" s="174" t="s">
        <v>190</v>
      </c>
      <c r="E15" s="165"/>
      <c r="F15" s="175">
        <v>1</v>
      </c>
      <c r="G15" s="167"/>
      <c r="H15" s="176"/>
      <c r="I15" s="182"/>
      <c r="J15" s="176">
        <f>F15*H15</f>
        <v>0</v>
      </c>
      <c r="K15" s="136"/>
      <c r="L15" s="136"/>
    </row>
    <row r="16" spans="1:28" ht="14.25">
      <c r="A16" s="172"/>
      <c r="B16" s="173"/>
      <c r="C16" s="173"/>
      <c r="D16" s="165"/>
      <c r="E16" s="165"/>
      <c r="F16" s="166"/>
      <c r="G16" s="167"/>
      <c r="H16" s="168"/>
      <c r="I16" s="182"/>
      <c r="J16" s="168"/>
      <c r="K16" s="136"/>
      <c r="L16" s="136"/>
    </row>
    <row r="17" spans="1:17" ht="15" thickBot="1">
      <c r="A17" s="183"/>
      <c r="B17" s="184" t="s">
        <v>75</v>
      </c>
      <c r="C17" s="184"/>
      <c r="D17" s="185"/>
      <c r="E17" s="185"/>
      <c r="F17" s="186"/>
      <c r="G17" s="185"/>
      <c r="H17" s="187"/>
      <c r="I17" s="188"/>
      <c r="J17" s="189">
        <f>SUM(J9:J15)</f>
        <v>0</v>
      </c>
      <c r="K17" s="136"/>
      <c r="L17" s="136"/>
    </row>
    <row r="18" spans="1:17" ht="15" thickTop="1">
      <c r="A18" s="190"/>
      <c r="B18" s="191"/>
      <c r="C18" s="191"/>
      <c r="D18" s="192"/>
      <c r="E18" s="192"/>
      <c r="F18" s="165"/>
      <c r="G18" s="192"/>
      <c r="H18" s="193"/>
      <c r="I18" s="182"/>
      <c r="J18" s="194"/>
      <c r="K18" s="136"/>
      <c r="L18" s="136" t="s">
        <v>221</v>
      </c>
      <c r="N18" t="s">
        <v>239</v>
      </c>
      <c r="P18" t="s">
        <v>238</v>
      </c>
      <c r="Q18" s="450" t="s">
        <v>394</v>
      </c>
    </row>
    <row r="19" spans="1:17" ht="14.25">
      <c r="A19" s="190"/>
      <c r="B19" s="191"/>
      <c r="C19" s="191"/>
      <c r="D19" s="192"/>
      <c r="E19" s="192"/>
      <c r="F19" s="165"/>
      <c r="G19" s="192"/>
      <c r="H19" s="193"/>
      <c r="I19" s="182"/>
      <c r="J19" s="194"/>
      <c r="K19" s="136"/>
      <c r="L19" s="136" t="s">
        <v>240</v>
      </c>
      <c r="N19">
        <v>311.7</v>
      </c>
      <c r="P19">
        <v>235.4</v>
      </c>
      <c r="Q19">
        <v>21.49</v>
      </c>
    </row>
    <row r="20" spans="1:17" ht="15">
      <c r="A20" s="195" t="s">
        <v>61</v>
      </c>
      <c r="B20" s="196" t="s">
        <v>76</v>
      </c>
      <c r="C20" s="196"/>
      <c r="D20" s="160"/>
      <c r="E20" s="160"/>
      <c r="F20" s="170"/>
      <c r="G20" s="171"/>
      <c r="H20" s="197"/>
      <c r="I20" s="180"/>
      <c r="J20" s="198"/>
      <c r="K20" s="136"/>
      <c r="L20" s="136"/>
    </row>
    <row r="21" spans="1:17" ht="15">
      <c r="A21" s="195"/>
      <c r="B21" s="453" t="s">
        <v>452</v>
      </c>
      <c r="C21" s="196"/>
      <c r="D21" s="160"/>
      <c r="E21" s="160"/>
      <c r="F21" s="170"/>
      <c r="G21" s="171"/>
      <c r="H21" s="197"/>
      <c r="I21" s="180"/>
      <c r="J21" s="198"/>
      <c r="K21" s="136"/>
      <c r="L21" s="136"/>
    </row>
    <row r="22" spans="1:17" ht="15">
      <c r="A22" s="195"/>
      <c r="B22" s="196"/>
      <c r="C22" s="196"/>
      <c r="D22" s="165"/>
      <c r="E22" s="165"/>
      <c r="F22" s="166"/>
      <c r="G22" s="167"/>
      <c r="H22" s="193"/>
      <c r="I22" s="182"/>
      <c r="J22" s="194"/>
      <c r="K22" s="136"/>
      <c r="L22" s="136"/>
    </row>
    <row r="23" spans="1:17" ht="51">
      <c r="A23" s="203" t="s">
        <v>61</v>
      </c>
      <c r="B23" s="204" t="s">
        <v>22</v>
      </c>
      <c r="C23" s="205"/>
      <c r="D23" s="206"/>
      <c r="E23" s="206"/>
      <c r="F23" s="207"/>
      <c r="G23" s="208"/>
      <c r="H23" s="209"/>
      <c r="I23" s="180"/>
      <c r="J23" s="194"/>
      <c r="K23" s="136"/>
      <c r="L23" s="136"/>
    </row>
    <row r="24" spans="1:17" ht="15.75">
      <c r="A24" s="210"/>
      <c r="B24" s="205" t="s">
        <v>78</v>
      </c>
      <c r="C24" s="205"/>
      <c r="D24" s="211" t="s">
        <v>108</v>
      </c>
      <c r="E24" s="206"/>
      <c r="F24" s="212">
        <f>F9*1.4*0.95</f>
        <v>28.581699999999994</v>
      </c>
      <c r="G24" s="208"/>
      <c r="H24" s="213"/>
      <c r="I24" s="180"/>
      <c r="J24" s="202">
        <f>F24*H24</f>
        <v>0</v>
      </c>
      <c r="K24" s="136"/>
      <c r="L24" s="136"/>
    </row>
    <row r="25" spans="1:17" ht="14.25">
      <c r="A25" s="203"/>
      <c r="B25" s="205" t="s">
        <v>79</v>
      </c>
      <c r="C25" s="205"/>
      <c r="D25" s="211" t="s">
        <v>108</v>
      </c>
      <c r="E25" s="206"/>
      <c r="F25" s="212">
        <f>F9*1.4*0.05</f>
        <v>1.5042999999999997</v>
      </c>
      <c r="G25" s="208"/>
      <c r="H25" s="213"/>
      <c r="I25" s="180"/>
      <c r="J25" s="202">
        <f>F25*H25</f>
        <v>0</v>
      </c>
      <c r="K25" s="136"/>
      <c r="L25" s="136"/>
    </row>
    <row r="26" spans="1:17" ht="14.25">
      <c r="A26" s="203"/>
      <c r="B26" s="173"/>
      <c r="C26" s="205"/>
      <c r="D26" s="214"/>
      <c r="E26" s="206"/>
      <c r="F26" s="207"/>
      <c r="G26" s="208"/>
      <c r="H26" s="215"/>
      <c r="I26" s="180"/>
      <c r="J26" s="194"/>
      <c r="K26" s="199"/>
      <c r="L26" s="199"/>
      <c r="N26" s="200"/>
      <c r="O26" s="200"/>
    </row>
    <row r="27" spans="1:17" ht="25.5">
      <c r="A27" s="203" t="s">
        <v>63</v>
      </c>
      <c r="B27" s="205" t="s">
        <v>21</v>
      </c>
      <c r="C27" s="205"/>
      <c r="D27" s="206"/>
      <c r="E27" s="206"/>
      <c r="F27" s="216"/>
      <c r="G27" s="217"/>
      <c r="H27" s="209"/>
      <c r="I27" s="180"/>
      <c r="J27" s="218"/>
      <c r="K27" s="199"/>
      <c r="L27" s="199"/>
      <c r="N27" s="200"/>
      <c r="O27" s="200"/>
    </row>
    <row r="28" spans="1:17" ht="14.25">
      <c r="A28" s="203"/>
      <c r="B28" s="205" t="s">
        <v>23</v>
      </c>
      <c r="C28" s="205"/>
      <c r="D28" s="211" t="s">
        <v>105</v>
      </c>
      <c r="E28" s="206"/>
      <c r="F28" s="220">
        <f>F9*0.8</f>
        <v>17.192</v>
      </c>
      <c r="G28" s="221"/>
      <c r="H28" s="213"/>
      <c r="I28" s="180"/>
      <c r="J28" s="202">
        <f>F28*H28</f>
        <v>0</v>
      </c>
      <c r="K28" s="199"/>
      <c r="L28" s="199"/>
      <c r="N28" s="200"/>
      <c r="O28" s="200"/>
    </row>
    <row r="29" spans="1:17" ht="14.25">
      <c r="A29" s="172"/>
      <c r="B29" s="173"/>
      <c r="C29" s="173"/>
      <c r="D29" s="165"/>
      <c r="E29" s="160"/>
      <c r="F29" s="222"/>
      <c r="G29" s="223"/>
      <c r="H29" s="215"/>
      <c r="I29" s="180"/>
      <c r="J29" s="194"/>
      <c r="K29" s="199"/>
      <c r="L29" s="199"/>
      <c r="N29" s="200"/>
      <c r="O29" s="200"/>
    </row>
    <row r="30" spans="1:17" ht="51">
      <c r="A30" s="172" t="s">
        <v>67</v>
      </c>
      <c r="B30" s="224" t="s">
        <v>80</v>
      </c>
      <c r="C30" s="225"/>
      <c r="D30" s="174" t="s">
        <v>108</v>
      </c>
      <c r="E30" s="160"/>
      <c r="F30" s="175">
        <f>AA11</f>
        <v>2.2200000000000002</v>
      </c>
      <c r="G30" s="167"/>
      <c r="H30" s="213"/>
      <c r="I30" s="169"/>
      <c r="J30" s="202">
        <f>F30*H30</f>
        <v>0</v>
      </c>
      <c r="K30" s="200"/>
      <c r="L30" s="199"/>
      <c r="M30" s="200"/>
    </row>
    <row r="31" spans="1:17" ht="14.25">
      <c r="A31" s="172"/>
      <c r="B31" s="224"/>
      <c r="C31" s="225"/>
      <c r="D31" s="160"/>
      <c r="E31" s="160"/>
      <c r="F31" s="166"/>
      <c r="G31" s="167"/>
      <c r="H31" s="215"/>
      <c r="I31" s="169"/>
      <c r="J31" s="194"/>
      <c r="K31" s="200"/>
      <c r="L31" s="199"/>
      <c r="M31" s="200"/>
    </row>
    <row r="32" spans="1:17" ht="38.25">
      <c r="A32" s="172" t="s">
        <v>68</v>
      </c>
      <c r="B32" s="173" t="s">
        <v>24</v>
      </c>
      <c r="C32" s="225"/>
      <c r="D32" s="174" t="s">
        <v>108</v>
      </c>
      <c r="E32" s="160"/>
      <c r="F32" s="175">
        <f>Z11</f>
        <v>10.35</v>
      </c>
      <c r="G32" s="167"/>
      <c r="H32" s="213"/>
      <c r="I32" s="169"/>
      <c r="J32" s="202">
        <f>F32*H32</f>
        <v>0</v>
      </c>
      <c r="K32" s="200"/>
      <c r="L32" s="199"/>
      <c r="M32" s="200"/>
    </row>
    <row r="33" spans="1:15" ht="14.25">
      <c r="A33" s="172"/>
      <c r="B33" s="173"/>
      <c r="C33" s="225"/>
      <c r="D33" s="165"/>
      <c r="E33" s="160"/>
      <c r="F33" s="166"/>
      <c r="G33" s="167"/>
      <c r="H33" s="215"/>
      <c r="I33" s="169"/>
      <c r="J33" s="194"/>
      <c r="K33" s="200"/>
      <c r="L33" s="199"/>
      <c r="M33" s="200"/>
    </row>
    <row r="34" spans="1:15" ht="76.5">
      <c r="A34" s="172" t="s">
        <v>69</v>
      </c>
      <c r="B34" s="224" t="s">
        <v>25</v>
      </c>
      <c r="C34" s="226"/>
      <c r="D34" s="179"/>
      <c r="E34" s="179"/>
      <c r="F34" s="166"/>
      <c r="G34" s="167"/>
      <c r="H34" s="198"/>
      <c r="I34" s="163"/>
      <c r="J34" s="198"/>
      <c r="K34" s="171"/>
      <c r="L34" s="219"/>
      <c r="M34" s="200"/>
    </row>
    <row r="35" spans="1:15" ht="15">
      <c r="A35" s="172"/>
      <c r="B35" s="173" t="s">
        <v>78</v>
      </c>
      <c r="C35" s="173"/>
      <c r="D35" s="174" t="s">
        <v>108</v>
      </c>
      <c r="E35" s="160"/>
      <c r="F35" s="175">
        <f>(F24+F25-F30-F32)*0.95</f>
        <v>16.640199999999997</v>
      </c>
      <c r="G35" s="167"/>
      <c r="H35" s="213"/>
      <c r="I35" s="163"/>
      <c r="J35" s="202">
        <f>F35*H35</f>
        <v>0</v>
      </c>
      <c r="K35" s="171"/>
      <c r="L35" s="219"/>
      <c r="M35" s="200"/>
    </row>
    <row r="36" spans="1:15" ht="14.25">
      <c r="A36" s="172"/>
      <c r="B36" s="173" t="s">
        <v>79</v>
      </c>
      <c r="C36" s="173"/>
      <c r="D36" s="174" t="s">
        <v>108</v>
      </c>
      <c r="E36" s="160"/>
      <c r="F36" s="181">
        <f>(F24+F25-F30-F32)*0.05</f>
        <v>0.87579999999999991</v>
      </c>
      <c r="G36" s="167"/>
      <c r="H36" s="213"/>
      <c r="I36" s="163"/>
      <c r="J36" s="202">
        <f>F36*H36</f>
        <v>0</v>
      </c>
      <c r="K36" s="199"/>
      <c r="L36" s="199"/>
      <c r="M36" s="200"/>
      <c r="N36" s="200"/>
      <c r="O36" s="200"/>
    </row>
    <row r="37" spans="1:15" ht="14.25">
      <c r="A37" s="172"/>
      <c r="B37" s="173"/>
      <c r="C37" s="173"/>
      <c r="D37" s="165"/>
      <c r="E37" s="160"/>
      <c r="F37" s="166"/>
      <c r="G37" s="167"/>
      <c r="H37" s="215"/>
      <c r="I37" s="163"/>
      <c r="J37" s="194"/>
      <c r="K37" s="199"/>
      <c r="L37" s="199"/>
      <c r="M37" s="200"/>
      <c r="N37" s="200"/>
      <c r="O37" s="200"/>
    </row>
    <row r="38" spans="1:15" ht="14.25">
      <c r="A38" s="172"/>
      <c r="B38" s="224"/>
      <c r="C38" s="226"/>
      <c r="D38" s="160"/>
      <c r="E38" s="160"/>
      <c r="F38" s="166"/>
      <c r="G38" s="167"/>
      <c r="H38" s="215"/>
      <c r="I38" s="163"/>
      <c r="J38" s="194"/>
      <c r="K38" s="199"/>
      <c r="L38" s="199"/>
      <c r="M38" s="200"/>
      <c r="N38" s="200"/>
      <c r="O38" s="200"/>
    </row>
    <row r="39" spans="1:15" ht="25.5">
      <c r="A39" s="172" t="s">
        <v>72</v>
      </c>
      <c r="B39" s="228" t="s">
        <v>27</v>
      </c>
      <c r="C39" s="226"/>
      <c r="D39" s="174" t="s">
        <v>108</v>
      </c>
      <c r="E39" s="160"/>
      <c r="F39" s="175">
        <f>F24+F25-F35-F36</f>
        <v>12.569999999999999</v>
      </c>
      <c r="G39" s="167"/>
      <c r="H39" s="213"/>
      <c r="I39" s="163"/>
      <c r="J39" s="202">
        <f>F39*H39</f>
        <v>0</v>
      </c>
      <c r="K39" s="199"/>
      <c r="L39" s="199"/>
      <c r="M39" s="200"/>
      <c r="N39" s="200"/>
      <c r="O39" s="200"/>
    </row>
    <row r="40" spans="1:15">
      <c r="A40" s="172"/>
      <c r="B40" s="228"/>
      <c r="C40" s="226"/>
      <c r="D40" s="165"/>
      <c r="E40" s="160"/>
      <c r="F40" s="166"/>
      <c r="G40" s="167"/>
      <c r="H40" s="215"/>
      <c r="I40" s="163"/>
      <c r="J40" s="194"/>
      <c r="K40" s="217"/>
      <c r="L40" s="200"/>
      <c r="M40" s="200"/>
      <c r="N40" s="200"/>
      <c r="O40" s="200"/>
    </row>
    <row r="41" spans="1:15" ht="13.5" thickBot="1">
      <c r="A41" s="183"/>
      <c r="B41" s="232" t="s">
        <v>28</v>
      </c>
      <c r="C41" s="232"/>
      <c r="D41" s="233"/>
      <c r="E41" s="233"/>
      <c r="F41" s="234"/>
      <c r="G41" s="235"/>
      <c r="H41" s="189"/>
      <c r="I41" s="236"/>
      <c r="J41" s="189">
        <f>SUM(J22:J40)</f>
        <v>0</v>
      </c>
      <c r="K41" s="217"/>
      <c r="L41" s="200"/>
      <c r="M41" s="200"/>
      <c r="N41" s="200"/>
      <c r="O41" s="200"/>
    </row>
    <row r="42" spans="1:15" ht="13.5" thickTop="1">
      <c r="A42" s="190"/>
      <c r="B42" s="237"/>
      <c r="C42" s="237"/>
      <c r="D42" s="238"/>
      <c r="E42" s="238"/>
      <c r="F42" s="166"/>
      <c r="G42" s="167"/>
      <c r="H42" s="194"/>
      <c r="I42" s="169"/>
      <c r="J42" s="194"/>
      <c r="K42" s="217"/>
      <c r="L42" s="200"/>
      <c r="M42" s="200"/>
      <c r="N42" s="200"/>
      <c r="O42" s="200"/>
    </row>
    <row r="43" spans="1:15">
      <c r="A43" s="190"/>
      <c r="B43" s="237"/>
      <c r="C43" s="237"/>
      <c r="D43" s="238"/>
      <c r="E43" s="238"/>
      <c r="F43" s="166"/>
      <c r="G43" s="167"/>
      <c r="H43" s="194"/>
      <c r="I43" s="169"/>
      <c r="J43" s="194"/>
      <c r="K43" s="217"/>
      <c r="L43" s="200"/>
      <c r="M43" s="200"/>
      <c r="N43" s="200"/>
      <c r="O43" s="200"/>
    </row>
    <row r="44" spans="1:15" ht="15">
      <c r="A44" s="195" t="s">
        <v>63</v>
      </c>
      <c r="B44" s="239" t="s">
        <v>29</v>
      </c>
      <c r="C44" s="239"/>
      <c r="D44" s="160"/>
      <c r="E44" s="160"/>
      <c r="F44" s="170"/>
      <c r="G44" s="171"/>
      <c r="H44" s="198"/>
      <c r="I44" s="163"/>
      <c r="J44" s="198"/>
      <c r="K44" s="217"/>
      <c r="L44" s="200"/>
      <c r="M44" s="200"/>
      <c r="N44" s="200"/>
      <c r="O44" s="200"/>
    </row>
    <row r="45" spans="1:15" ht="15">
      <c r="A45" s="195"/>
      <c r="B45" s="239"/>
      <c r="C45" s="239"/>
      <c r="D45" s="160"/>
      <c r="E45" s="160"/>
      <c r="F45" s="170"/>
      <c r="G45" s="171"/>
      <c r="H45" s="198"/>
      <c r="I45" s="163"/>
      <c r="J45" s="198"/>
      <c r="K45" s="217"/>
      <c r="L45" s="200"/>
      <c r="M45" s="200"/>
    </row>
    <row r="46" spans="1:15" ht="38.25">
      <c r="A46" s="172" t="s">
        <v>58</v>
      </c>
      <c r="B46" s="226" t="s">
        <v>396</v>
      </c>
      <c r="C46" s="226"/>
      <c r="D46" s="174" t="s">
        <v>60</v>
      </c>
      <c r="E46" s="160"/>
      <c r="F46" s="240">
        <f>Q19</f>
        <v>21.49</v>
      </c>
      <c r="G46" s="223"/>
      <c r="H46" s="213"/>
      <c r="I46" s="163"/>
      <c r="J46" s="202">
        <f>F46*H46</f>
        <v>0</v>
      </c>
      <c r="K46" s="217"/>
      <c r="L46" s="200"/>
      <c r="M46" s="200"/>
      <c r="N46" s="200"/>
      <c r="O46" s="200"/>
    </row>
    <row r="47" spans="1:15">
      <c r="A47" s="172"/>
      <c r="B47" s="226"/>
      <c r="C47" s="226"/>
      <c r="D47" s="160"/>
      <c r="E47" s="160"/>
      <c r="F47" s="170"/>
      <c r="G47" s="171"/>
      <c r="H47" s="198"/>
      <c r="I47" s="163"/>
      <c r="J47" s="198"/>
      <c r="K47" s="217"/>
      <c r="L47" s="200"/>
      <c r="M47" s="200"/>
      <c r="N47" s="200"/>
      <c r="O47" s="200"/>
    </row>
    <row r="48" spans="1:15">
      <c r="A48" s="172"/>
      <c r="B48" s="226"/>
      <c r="C48" s="226"/>
      <c r="D48" s="160"/>
      <c r="E48" s="160"/>
      <c r="F48" s="170"/>
      <c r="G48" s="171"/>
      <c r="H48" s="198"/>
      <c r="I48" s="163"/>
      <c r="J48" s="198"/>
      <c r="K48" s="217"/>
      <c r="L48" s="200"/>
      <c r="M48" s="200"/>
      <c r="N48" s="200"/>
      <c r="O48" s="200"/>
    </row>
    <row r="49" spans="1:15" ht="51">
      <c r="A49" s="172" t="s">
        <v>63</v>
      </c>
      <c r="B49" s="241" t="s">
        <v>398</v>
      </c>
      <c r="C49" s="241"/>
      <c r="D49" s="165"/>
      <c r="E49" s="165"/>
      <c r="F49" s="166"/>
      <c r="G49" s="167"/>
      <c r="H49" s="198"/>
      <c r="I49" s="163"/>
      <c r="J49" s="198"/>
      <c r="K49" s="217"/>
      <c r="L49" s="200"/>
      <c r="M49" s="200"/>
      <c r="N49" s="200"/>
      <c r="O49" s="200"/>
    </row>
    <row r="50" spans="1:15">
      <c r="A50" s="172"/>
      <c r="B50" s="241"/>
      <c r="C50" s="241"/>
      <c r="D50" s="174" t="s">
        <v>190</v>
      </c>
      <c r="E50" s="165"/>
      <c r="F50" s="175">
        <f>R13</f>
        <v>2</v>
      </c>
      <c r="G50" s="167"/>
      <c r="H50" s="213"/>
      <c r="I50" s="163"/>
      <c r="J50" s="202">
        <f>F50*H50</f>
        <v>0</v>
      </c>
      <c r="K50" s="217"/>
      <c r="L50" s="200"/>
      <c r="M50" s="200"/>
      <c r="N50" s="200"/>
      <c r="O50" s="200"/>
    </row>
    <row r="51" spans="1:15">
      <c r="A51" s="172"/>
      <c r="B51" s="241"/>
      <c r="C51" s="241"/>
      <c r="D51" s="160"/>
      <c r="E51" s="160"/>
      <c r="F51" s="170"/>
      <c r="G51" s="171"/>
      <c r="H51" s="198"/>
      <c r="I51" s="163"/>
      <c r="J51" s="198"/>
      <c r="K51" s="217"/>
      <c r="L51" s="200"/>
      <c r="M51" s="200"/>
      <c r="N51" s="200"/>
      <c r="O51" s="200"/>
    </row>
    <row r="52" spans="1:15" ht="51">
      <c r="A52" s="172" t="s">
        <v>67</v>
      </c>
      <c r="B52" s="241" t="s">
        <v>397</v>
      </c>
      <c r="C52" s="241"/>
      <c r="D52" s="165"/>
      <c r="E52" s="165"/>
      <c r="F52" s="166"/>
      <c r="G52" s="167"/>
      <c r="H52" s="198"/>
      <c r="I52" s="163"/>
      <c r="J52" s="198"/>
      <c r="K52" s="217"/>
      <c r="L52" s="200"/>
      <c r="M52" s="200"/>
      <c r="N52" s="200"/>
      <c r="O52" s="200"/>
    </row>
    <row r="53" spans="1:15">
      <c r="A53" s="172"/>
      <c r="B53" s="241"/>
      <c r="C53" s="241"/>
      <c r="D53" s="174" t="s">
        <v>190</v>
      </c>
      <c r="E53" s="165"/>
      <c r="F53" s="175">
        <v>1</v>
      </c>
      <c r="G53" s="167"/>
      <c r="H53" s="213"/>
      <c r="I53" s="163"/>
      <c r="J53" s="202">
        <f>F53*H53</f>
        <v>0</v>
      </c>
      <c r="K53" s="217"/>
      <c r="L53" s="200"/>
      <c r="M53" s="200"/>
      <c r="N53" s="200"/>
      <c r="O53" s="200"/>
    </row>
    <row r="54" spans="1:15">
      <c r="A54" s="172"/>
      <c r="B54" s="241"/>
      <c r="C54" s="241"/>
      <c r="D54" s="160"/>
      <c r="E54" s="160"/>
      <c r="F54" s="170"/>
      <c r="G54" s="171"/>
      <c r="H54" s="198"/>
      <c r="I54" s="163"/>
      <c r="J54" s="198"/>
      <c r="K54" s="217"/>
      <c r="L54" s="200"/>
      <c r="M54" s="200"/>
      <c r="N54" s="200"/>
      <c r="O54" s="200"/>
    </row>
    <row r="55" spans="1:15" ht="13.5" thickBot="1">
      <c r="A55" s="243"/>
      <c r="B55" s="244" t="s">
        <v>30</v>
      </c>
      <c r="C55" s="244"/>
      <c r="D55" s="186"/>
      <c r="E55" s="186"/>
      <c r="F55" s="234"/>
      <c r="G55" s="235"/>
      <c r="H55" s="189"/>
      <c r="I55" s="236"/>
      <c r="J55" s="189">
        <f>SUM(J46:J53)</f>
        <v>0</v>
      </c>
      <c r="K55" s="217"/>
      <c r="L55" s="200"/>
      <c r="M55" s="200"/>
      <c r="N55" s="200"/>
      <c r="O55" s="200"/>
    </row>
    <row r="56" spans="1:15" ht="13.5" thickTop="1">
      <c r="A56" s="245"/>
      <c r="B56" s="246"/>
      <c r="C56" s="246"/>
      <c r="D56" s="165"/>
      <c r="E56" s="165"/>
      <c r="F56" s="166"/>
      <c r="G56" s="167"/>
      <c r="H56" s="194"/>
      <c r="I56" s="169"/>
      <c r="J56" s="194"/>
      <c r="K56" s="242"/>
    </row>
    <row r="57" spans="1:15" ht="15.75">
      <c r="A57" s="247" t="s">
        <v>67</v>
      </c>
      <c r="B57" s="248" t="s">
        <v>31</v>
      </c>
      <c r="C57" s="248"/>
      <c r="D57" s="192"/>
      <c r="E57" s="192"/>
      <c r="F57" s="166"/>
      <c r="G57" s="167"/>
      <c r="H57" s="150"/>
      <c r="I57" s="163"/>
      <c r="J57" s="198"/>
      <c r="K57" s="242"/>
    </row>
    <row r="58" spans="1:15">
      <c r="A58" s="172"/>
      <c r="B58" s="249"/>
      <c r="C58" s="249"/>
      <c r="D58" s="250"/>
      <c r="E58" s="250"/>
      <c r="F58" s="170"/>
      <c r="G58" s="171"/>
      <c r="H58" s="150"/>
      <c r="I58" s="163"/>
      <c r="J58" s="198"/>
      <c r="K58" s="242"/>
    </row>
    <row r="59" spans="1:15" ht="25.5">
      <c r="A59" s="172" t="s">
        <v>58</v>
      </c>
      <c r="B59" s="173" t="s">
        <v>32</v>
      </c>
      <c r="C59" s="173"/>
      <c r="D59" s="251" t="s">
        <v>60</v>
      </c>
      <c r="E59" s="179"/>
      <c r="F59" s="175">
        <f>F9</f>
        <v>21.49</v>
      </c>
      <c r="G59" s="167"/>
      <c r="H59" s="213"/>
      <c r="I59" s="163"/>
      <c r="J59" s="202">
        <f>F59*H59</f>
        <v>0</v>
      </c>
      <c r="K59" s="242"/>
    </row>
    <row r="60" spans="1:15">
      <c r="A60" s="172"/>
      <c r="B60" s="173"/>
      <c r="C60" s="173"/>
      <c r="D60" s="179"/>
      <c r="E60" s="179"/>
      <c r="F60" s="170"/>
      <c r="G60" s="171"/>
      <c r="H60" s="150"/>
      <c r="I60" s="163"/>
      <c r="J60" s="198"/>
      <c r="K60" s="242"/>
    </row>
    <row r="61" spans="1:15">
      <c r="A61" s="172" t="s">
        <v>67</v>
      </c>
      <c r="B61" s="173" t="s">
        <v>33</v>
      </c>
      <c r="C61" s="173"/>
      <c r="D61" s="251" t="s">
        <v>60</v>
      </c>
      <c r="E61" s="179"/>
      <c r="F61" s="175">
        <f>F9</f>
        <v>21.49</v>
      </c>
      <c r="G61" s="167"/>
      <c r="H61" s="213"/>
      <c r="I61" s="163"/>
      <c r="J61" s="202">
        <f>F61*H61</f>
        <v>0</v>
      </c>
      <c r="K61" s="242"/>
    </row>
    <row r="62" spans="1:15">
      <c r="A62" s="172"/>
      <c r="B62" s="173"/>
      <c r="C62" s="173"/>
      <c r="D62" s="179"/>
      <c r="E62" s="179"/>
      <c r="F62" s="170"/>
      <c r="G62" s="171"/>
      <c r="H62" s="150"/>
      <c r="I62" s="163"/>
      <c r="J62" s="198"/>
      <c r="K62" s="242"/>
    </row>
    <row r="63" spans="1:15">
      <c r="A63" s="172" t="s">
        <v>68</v>
      </c>
      <c r="B63" s="173" t="s">
        <v>34</v>
      </c>
      <c r="C63" s="173"/>
      <c r="D63" s="251" t="s">
        <v>190</v>
      </c>
      <c r="E63" s="179"/>
      <c r="F63" s="175">
        <f>F50+F53</f>
        <v>3</v>
      </c>
      <c r="G63" s="167"/>
      <c r="H63" s="213"/>
      <c r="I63" s="163"/>
      <c r="J63" s="202">
        <f>F63*H63</f>
        <v>0</v>
      </c>
      <c r="K63" s="242"/>
    </row>
    <row r="64" spans="1:15">
      <c r="A64" s="172"/>
      <c r="B64" s="173"/>
      <c r="C64" s="173"/>
      <c r="D64" s="179"/>
      <c r="E64" s="179"/>
      <c r="F64" s="170"/>
      <c r="G64" s="171"/>
      <c r="H64" s="150"/>
      <c r="I64" s="163"/>
      <c r="J64" s="198"/>
      <c r="K64" s="242"/>
    </row>
    <row r="65" spans="1:11" ht="25.5">
      <c r="A65" s="172" t="s">
        <v>69</v>
      </c>
      <c r="B65" s="173" t="s">
        <v>35</v>
      </c>
      <c r="C65" s="173"/>
      <c r="D65" s="251" t="s">
        <v>60</v>
      </c>
      <c r="E65" s="179"/>
      <c r="F65" s="175">
        <f>F9</f>
        <v>21.49</v>
      </c>
      <c r="G65" s="167"/>
      <c r="H65" s="213"/>
      <c r="I65" s="163"/>
      <c r="J65" s="202">
        <f>F65*H65</f>
        <v>0</v>
      </c>
      <c r="K65" s="242"/>
    </row>
    <row r="66" spans="1:11">
      <c r="A66" s="172"/>
      <c r="B66" s="173"/>
      <c r="C66" s="173"/>
      <c r="D66" s="179"/>
      <c r="E66" s="179"/>
      <c r="F66" s="170"/>
      <c r="G66" s="171"/>
      <c r="H66" s="150"/>
      <c r="I66" s="163"/>
      <c r="J66" s="198"/>
      <c r="K66" s="242"/>
    </row>
    <row r="67" spans="1:11" ht="13.5" thickBot="1">
      <c r="A67" s="183"/>
      <c r="B67" s="252" t="s">
        <v>36</v>
      </c>
      <c r="C67" s="252"/>
      <c r="D67" s="253"/>
      <c r="E67" s="253"/>
      <c r="F67" s="234"/>
      <c r="G67" s="235"/>
      <c r="H67" s="254"/>
      <c r="I67" s="236"/>
      <c r="J67" s="189">
        <f>SUM(J59:J65)</f>
        <v>0</v>
      </c>
      <c r="K67" s="242"/>
    </row>
    <row r="68" spans="1:11" ht="13.5" thickTop="1">
      <c r="A68" s="190"/>
      <c r="B68" s="255"/>
      <c r="C68" s="255"/>
      <c r="D68" s="256"/>
      <c r="E68" s="256"/>
      <c r="F68" s="166"/>
      <c r="G68" s="167"/>
      <c r="H68" s="168"/>
      <c r="I68" s="169"/>
      <c r="J68" s="194"/>
      <c r="K68" s="242"/>
    </row>
    <row r="69" spans="1:11">
      <c r="A69" s="190"/>
      <c r="B69" s="255"/>
      <c r="C69" s="255"/>
      <c r="D69" s="256"/>
      <c r="E69" s="256"/>
      <c r="F69" s="166"/>
      <c r="G69" s="167"/>
      <c r="H69" s="168"/>
      <c r="I69" s="169"/>
      <c r="J69" s="194"/>
      <c r="K69" s="242"/>
    </row>
    <row r="70" spans="1:11">
      <c r="A70" s="190"/>
      <c r="B70" s="255"/>
      <c r="C70" s="255"/>
      <c r="D70" s="256"/>
      <c r="E70" s="256"/>
      <c r="F70" s="166"/>
      <c r="G70" s="167"/>
      <c r="H70" s="150"/>
      <c r="I70" s="163"/>
      <c r="J70" s="198"/>
      <c r="K70" s="242"/>
    </row>
    <row r="71" spans="1:11">
      <c r="A71" s="190"/>
      <c r="B71" s="255"/>
      <c r="C71" s="255"/>
      <c r="D71" s="256"/>
      <c r="E71" s="256"/>
      <c r="F71" s="166"/>
      <c r="G71" s="167"/>
      <c r="H71" s="150"/>
      <c r="I71" s="163"/>
      <c r="J71" s="198"/>
      <c r="K71" s="242"/>
    </row>
    <row r="72" spans="1:11">
      <c r="A72" s="190"/>
      <c r="B72" s="255"/>
      <c r="C72" s="255"/>
      <c r="D72" s="256"/>
      <c r="E72" s="256"/>
      <c r="F72" s="166"/>
      <c r="G72" s="167"/>
      <c r="H72" s="150"/>
      <c r="I72" s="163"/>
      <c r="J72" s="198"/>
      <c r="K72" s="242"/>
    </row>
    <row r="73" spans="1:11">
      <c r="A73" s="190"/>
      <c r="B73" s="255"/>
      <c r="C73" s="255"/>
      <c r="D73" s="256"/>
      <c r="E73" s="256"/>
      <c r="F73" s="166"/>
      <c r="G73" s="167"/>
      <c r="H73" s="150"/>
      <c r="I73" s="163"/>
      <c r="J73" s="198"/>
      <c r="K73" s="242"/>
    </row>
    <row r="74" spans="1:11">
      <c r="A74" s="190"/>
      <c r="B74" s="255"/>
      <c r="C74" s="255"/>
      <c r="D74" s="256"/>
      <c r="E74" s="256"/>
      <c r="F74" s="166"/>
      <c r="G74" s="167"/>
      <c r="H74" s="150"/>
      <c r="I74" s="163"/>
      <c r="J74" s="198"/>
      <c r="K74" s="242"/>
    </row>
    <row r="75" spans="1:11">
      <c r="A75" s="190"/>
      <c r="B75" s="255"/>
      <c r="C75" s="255"/>
      <c r="D75" s="256"/>
      <c r="E75" s="256"/>
      <c r="F75" s="166"/>
      <c r="G75" s="167"/>
      <c r="H75" s="150"/>
      <c r="I75" s="163"/>
      <c r="J75" s="198"/>
      <c r="K75" s="242"/>
    </row>
    <row r="76" spans="1:11">
      <c r="A76" s="190"/>
      <c r="B76" s="255"/>
      <c r="C76" s="255"/>
      <c r="D76" s="256"/>
      <c r="E76" s="256"/>
      <c r="F76" s="166"/>
      <c r="G76" s="167"/>
      <c r="H76" s="150"/>
      <c r="I76" s="163"/>
      <c r="J76" s="198"/>
      <c r="K76" s="242"/>
    </row>
    <row r="77" spans="1:11">
      <c r="A77" s="172"/>
      <c r="B77" s="258"/>
      <c r="C77" s="258"/>
      <c r="D77" s="257"/>
      <c r="E77" s="257"/>
      <c r="F77" s="170"/>
      <c r="G77" s="171"/>
      <c r="H77" s="150"/>
      <c r="I77" s="163"/>
      <c r="J77" s="198"/>
      <c r="K77" s="242"/>
    </row>
    <row r="78" spans="1:11">
      <c r="B78" s="242"/>
      <c r="C78" s="242"/>
      <c r="D78" s="242"/>
      <c r="E78" s="242"/>
      <c r="F78" s="206"/>
      <c r="G78" s="242"/>
      <c r="H78" s="260"/>
      <c r="I78" s="261"/>
      <c r="J78" s="262"/>
      <c r="K78" s="242"/>
    </row>
    <row r="79" spans="1:11">
      <c r="B79" s="242"/>
      <c r="C79" s="242"/>
      <c r="D79" s="242"/>
      <c r="E79" s="242"/>
      <c r="F79" s="206"/>
      <c r="G79" s="242"/>
      <c r="H79" s="260"/>
      <c r="I79" s="261"/>
      <c r="J79" s="262"/>
      <c r="K79" s="242"/>
    </row>
    <row r="80" spans="1:11">
      <c r="B80" s="242"/>
      <c r="C80" s="242"/>
      <c r="D80" s="242"/>
      <c r="E80" s="242"/>
      <c r="F80" s="206"/>
      <c r="G80" s="242"/>
      <c r="H80" s="260"/>
      <c r="I80" s="261"/>
      <c r="J80" s="262"/>
      <c r="K80" s="242"/>
    </row>
    <row r="81" spans="2:18">
      <c r="B81" s="242"/>
      <c r="C81" s="242"/>
      <c r="D81" s="242"/>
      <c r="E81" s="242"/>
      <c r="F81" s="206"/>
      <c r="G81" s="242"/>
      <c r="H81" s="260"/>
      <c r="I81" s="261"/>
      <c r="J81" s="262"/>
      <c r="K81" s="242"/>
    </row>
    <row r="82" spans="2:18">
      <c r="B82" s="242"/>
      <c r="C82" s="242"/>
      <c r="D82" s="242"/>
      <c r="E82" s="242"/>
      <c r="F82" s="206"/>
      <c r="G82" s="242"/>
      <c r="H82" s="260"/>
      <c r="I82" s="261"/>
      <c r="J82" s="262"/>
      <c r="K82" s="242"/>
      <c r="Q82" s="259"/>
      <c r="R82" s="259"/>
    </row>
    <row r="83" spans="2:18">
      <c r="B83" s="242"/>
      <c r="C83" s="242"/>
      <c r="D83" s="242"/>
      <c r="E83" s="242"/>
      <c r="F83" s="206"/>
      <c r="G83" s="242"/>
      <c r="H83" s="260"/>
      <c r="I83" s="261"/>
      <c r="J83" s="262"/>
      <c r="K83" s="242"/>
      <c r="Q83" s="259"/>
      <c r="R83" s="259"/>
    </row>
    <row r="84" spans="2:18">
      <c r="B84" s="242"/>
      <c r="C84" s="242"/>
      <c r="D84" s="242"/>
      <c r="E84" s="242"/>
      <c r="F84" s="206"/>
      <c r="G84" s="242"/>
      <c r="H84" s="260"/>
      <c r="I84" s="261"/>
      <c r="J84" s="262"/>
      <c r="K84" s="242"/>
      <c r="Q84" s="259"/>
      <c r="R84" s="259"/>
    </row>
    <row r="85" spans="2:18">
      <c r="B85" s="242"/>
      <c r="C85" s="242"/>
      <c r="D85" s="242"/>
      <c r="E85" s="242"/>
      <c r="F85" s="206"/>
      <c r="G85" s="242"/>
      <c r="H85" s="260"/>
      <c r="I85" s="261"/>
      <c r="J85" s="262"/>
      <c r="K85" s="242"/>
      <c r="Q85" s="259"/>
      <c r="R85" s="259"/>
    </row>
    <row r="86" spans="2:18">
      <c r="B86" s="242"/>
      <c r="C86" s="242"/>
      <c r="D86" s="242"/>
      <c r="E86" s="242"/>
      <c r="F86" s="206"/>
      <c r="G86" s="242"/>
      <c r="H86" s="260"/>
      <c r="I86" s="261"/>
      <c r="J86" s="262"/>
      <c r="K86" s="242"/>
      <c r="Q86" s="259"/>
      <c r="R86" s="259"/>
    </row>
    <row r="87" spans="2:18">
      <c r="B87" s="242"/>
      <c r="C87" s="242"/>
      <c r="D87" s="242"/>
      <c r="E87" s="242"/>
      <c r="F87" s="206"/>
      <c r="G87" s="242"/>
      <c r="H87" s="260"/>
      <c r="I87" s="261"/>
      <c r="J87" s="262"/>
      <c r="K87" s="242"/>
      <c r="Q87" s="259"/>
      <c r="R87" s="259"/>
    </row>
    <row r="88" spans="2:18">
      <c r="B88" s="242"/>
      <c r="C88" s="242"/>
      <c r="D88" s="242"/>
      <c r="E88" s="242"/>
      <c r="F88" s="206"/>
      <c r="G88" s="242"/>
      <c r="H88" s="260"/>
      <c r="I88" s="261"/>
      <c r="J88" s="262"/>
      <c r="K88" s="242"/>
      <c r="Q88" s="259"/>
      <c r="R88" s="259"/>
    </row>
    <row r="89" spans="2:18">
      <c r="B89" s="242"/>
      <c r="C89" s="242"/>
      <c r="D89" s="242"/>
      <c r="E89" s="242"/>
      <c r="F89" s="206"/>
      <c r="G89" s="242"/>
      <c r="H89" s="260"/>
      <c r="I89" s="261"/>
      <c r="J89" s="262"/>
      <c r="K89" s="242"/>
      <c r="Q89" s="259"/>
      <c r="R89" s="259"/>
    </row>
    <row r="90" spans="2:18">
      <c r="B90" s="242"/>
      <c r="C90" s="242"/>
      <c r="D90" s="242"/>
      <c r="E90" s="242"/>
      <c r="F90" s="206"/>
      <c r="G90" s="242"/>
      <c r="H90" s="260"/>
      <c r="I90" s="261"/>
      <c r="J90" s="262"/>
      <c r="K90" s="242"/>
      <c r="Q90" s="259"/>
      <c r="R90" s="259"/>
    </row>
    <row r="91" spans="2:18">
      <c r="B91" s="242"/>
      <c r="C91" s="242"/>
      <c r="D91" s="242"/>
      <c r="E91" s="242"/>
      <c r="F91" s="206"/>
      <c r="G91" s="242"/>
      <c r="H91" s="260"/>
      <c r="I91" s="261"/>
      <c r="J91" s="262"/>
      <c r="K91" s="242"/>
      <c r="Q91" s="259"/>
      <c r="R91" s="259"/>
    </row>
    <row r="92" spans="2:18">
      <c r="B92" s="242"/>
      <c r="C92" s="242"/>
      <c r="D92" s="242"/>
      <c r="E92" s="242"/>
      <c r="F92" s="206"/>
      <c r="G92" s="242"/>
      <c r="H92" s="260"/>
      <c r="I92" s="261"/>
      <c r="J92" s="262"/>
      <c r="K92" s="263"/>
      <c r="L92" s="263"/>
      <c r="M92" s="264"/>
      <c r="Q92" s="259"/>
      <c r="R92" s="259"/>
    </row>
    <row r="93" spans="2:18">
      <c r="B93" s="242"/>
      <c r="C93" s="242"/>
      <c r="D93" s="242"/>
      <c r="E93" s="242"/>
      <c r="F93" s="206"/>
      <c r="G93" s="242"/>
      <c r="H93" s="260"/>
      <c r="I93" s="261"/>
      <c r="J93" s="262"/>
      <c r="K93" s="265"/>
      <c r="L93" s="265"/>
      <c r="M93" s="264"/>
    </row>
    <row r="94" spans="2:18">
      <c r="B94" s="242"/>
      <c r="C94" s="242"/>
      <c r="D94" s="242"/>
      <c r="E94" s="242"/>
      <c r="F94" s="206"/>
      <c r="G94" s="242"/>
      <c r="H94" s="260"/>
      <c r="I94" s="261"/>
      <c r="J94" s="262"/>
      <c r="K94" s="261"/>
      <c r="L94" s="261"/>
      <c r="M94" s="264"/>
    </row>
    <row r="95" spans="2:18">
      <c r="B95" s="242"/>
      <c r="C95" s="242"/>
      <c r="D95" s="242"/>
      <c r="E95" s="242"/>
      <c r="F95" s="206"/>
      <c r="G95" s="242"/>
      <c r="H95" s="260"/>
      <c r="I95" s="261"/>
      <c r="J95" s="262"/>
      <c r="K95" s="242"/>
    </row>
    <row r="96" spans="2:18">
      <c r="B96" s="242"/>
      <c r="C96" s="242"/>
      <c r="D96" s="242"/>
      <c r="E96" s="242"/>
      <c r="F96" s="206"/>
      <c r="G96" s="242"/>
      <c r="H96" s="260"/>
      <c r="I96" s="261"/>
      <c r="J96" s="262"/>
      <c r="K96" s="242"/>
    </row>
    <row r="97" spans="2:11">
      <c r="B97" s="242"/>
      <c r="C97" s="242"/>
      <c r="D97" s="242"/>
      <c r="E97" s="242"/>
      <c r="F97" s="206"/>
      <c r="G97" s="242"/>
      <c r="H97" s="260"/>
      <c r="I97" s="261"/>
      <c r="J97" s="262"/>
      <c r="K97" s="242"/>
    </row>
    <row r="98" spans="2:11">
      <c r="B98" s="242"/>
      <c r="C98" s="242"/>
      <c r="D98" s="242"/>
      <c r="E98" s="242"/>
      <c r="F98" s="206"/>
      <c r="G98" s="242"/>
      <c r="H98" s="260"/>
      <c r="I98" s="261"/>
      <c r="J98" s="262"/>
      <c r="K98" s="242"/>
    </row>
    <row r="99" spans="2:11">
      <c r="B99" s="242"/>
      <c r="C99" s="242"/>
      <c r="D99" s="242"/>
      <c r="E99" s="242"/>
      <c r="F99" s="206"/>
      <c r="G99" s="242"/>
      <c r="H99" s="260"/>
      <c r="I99" s="261"/>
      <c r="J99" s="262"/>
      <c r="K99" s="242"/>
    </row>
    <row r="100" spans="2:11">
      <c r="B100" s="242"/>
      <c r="C100" s="242"/>
      <c r="D100" s="242"/>
      <c r="E100" s="242"/>
      <c r="F100" s="206"/>
      <c r="G100" s="242"/>
      <c r="H100" s="260"/>
      <c r="I100" s="261"/>
      <c r="J100" s="262"/>
      <c r="K100" s="242"/>
    </row>
    <row r="101" spans="2:11">
      <c r="B101" s="242"/>
      <c r="C101" s="242"/>
      <c r="D101" s="242"/>
      <c r="E101" s="242"/>
      <c r="F101" s="206"/>
      <c r="G101" s="242"/>
      <c r="H101" s="260"/>
      <c r="I101" s="261"/>
      <c r="J101" s="262"/>
      <c r="K101" s="242"/>
    </row>
    <row r="102" spans="2:11">
      <c r="B102" s="242"/>
      <c r="C102" s="242"/>
      <c r="D102" s="242"/>
      <c r="E102" s="242"/>
      <c r="F102" s="206"/>
      <c r="G102" s="242"/>
      <c r="H102" s="260"/>
      <c r="I102" s="261"/>
      <c r="J102" s="262"/>
      <c r="K102" s="242"/>
    </row>
    <row r="103" spans="2:11">
      <c r="B103" s="242"/>
      <c r="C103" s="242"/>
      <c r="D103" s="242"/>
      <c r="E103" s="242"/>
      <c r="F103" s="206"/>
      <c r="G103" s="242"/>
      <c r="H103" s="260"/>
      <c r="I103" s="261"/>
      <c r="J103" s="262"/>
      <c r="K103" s="242"/>
    </row>
    <row r="104" spans="2:11">
      <c r="B104" s="242"/>
      <c r="C104" s="242"/>
      <c r="D104" s="242"/>
      <c r="E104" s="242"/>
      <c r="F104" s="206"/>
      <c r="G104" s="242"/>
      <c r="H104" s="260"/>
      <c r="I104" s="261"/>
      <c r="J104" s="262"/>
      <c r="K104" s="242"/>
    </row>
    <row r="105" spans="2:11">
      <c r="B105" s="242"/>
      <c r="C105" s="242"/>
      <c r="D105" s="242"/>
      <c r="E105" s="242"/>
      <c r="F105" s="206"/>
      <c r="G105" s="242"/>
      <c r="H105" s="260"/>
      <c r="I105" s="261"/>
      <c r="J105" s="262"/>
      <c r="K105" s="242"/>
    </row>
    <row r="106" spans="2:11">
      <c r="B106" s="242"/>
      <c r="C106" s="242"/>
      <c r="D106" s="242"/>
      <c r="E106" s="242"/>
      <c r="F106" s="206"/>
      <c r="G106" s="242"/>
      <c r="H106" s="260"/>
      <c r="I106" s="261"/>
      <c r="J106" s="262"/>
      <c r="K106" s="242"/>
    </row>
    <row r="107" spans="2:11">
      <c r="B107" s="242"/>
      <c r="C107" s="242"/>
      <c r="D107" s="242"/>
      <c r="E107" s="242"/>
      <c r="F107" s="206"/>
      <c r="G107" s="242"/>
      <c r="H107" s="260"/>
      <c r="I107" s="261"/>
      <c r="J107" s="262"/>
      <c r="K107" s="242"/>
    </row>
    <row r="108" spans="2:11">
      <c r="B108" s="242"/>
      <c r="C108" s="242"/>
      <c r="D108" s="242"/>
      <c r="E108" s="242"/>
      <c r="F108" s="206"/>
      <c r="G108" s="242"/>
      <c r="H108" s="260"/>
      <c r="I108" s="261"/>
      <c r="J108" s="262"/>
      <c r="K108" s="242"/>
    </row>
    <row r="109" spans="2:11">
      <c r="B109" s="242"/>
      <c r="C109" s="242"/>
      <c r="D109" s="242"/>
      <c r="E109" s="242"/>
      <c r="F109" s="206"/>
      <c r="G109" s="242"/>
      <c r="H109" s="260"/>
      <c r="I109" s="261"/>
      <c r="J109" s="262"/>
      <c r="K109" s="242"/>
    </row>
    <row r="110" spans="2:11">
      <c r="B110" s="242"/>
      <c r="C110" s="242"/>
      <c r="D110" s="242"/>
      <c r="E110" s="242"/>
      <c r="F110" s="206"/>
      <c r="G110" s="242"/>
      <c r="H110" s="260"/>
      <c r="I110" s="261"/>
      <c r="J110" s="262"/>
      <c r="K110" s="242"/>
    </row>
    <row r="111" spans="2:11">
      <c r="B111" s="242"/>
      <c r="C111" s="242"/>
      <c r="D111" s="242"/>
      <c r="E111" s="242"/>
      <c r="F111" s="206"/>
      <c r="G111" s="242"/>
      <c r="H111" s="260"/>
      <c r="I111" s="261"/>
      <c r="J111" s="262"/>
      <c r="K111" s="242"/>
    </row>
    <row r="112" spans="2:11">
      <c r="B112" s="242"/>
      <c r="C112" s="242"/>
      <c r="D112" s="242"/>
      <c r="E112" s="242"/>
      <c r="F112" s="206"/>
      <c r="G112" s="242"/>
      <c r="H112" s="260"/>
      <c r="I112" s="261"/>
      <c r="J112" s="262"/>
      <c r="K112" s="242"/>
    </row>
    <row r="113" spans="2:11">
      <c r="B113" s="242"/>
      <c r="C113" s="242"/>
      <c r="D113" s="242"/>
      <c r="E113" s="242"/>
      <c r="F113" s="206"/>
      <c r="G113" s="242"/>
      <c r="H113" s="260"/>
      <c r="I113" s="261"/>
      <c r="J113" s="262"/>
      <c r="K113" s="242"/>
    </row>
    <row r="114" spans="2:11">
      <c r="B114" s="242"/>
      <c r="C114" s="242"/>
      <c r="D114" s="242"/>
      <c r="E114" s="242"/>
      <c r="F114" s="206"/>
      <c r="G114" s="242"/>
      <c r="H114" s="260"/>
      <c r="I114" s="261"/>
      <c r="J114" s="262"/>
      <c r="K114" s="242"/>
    </row>
    <row r="115" spans="2:11">
      <c r="B115" s="242"/>
      <c r="C115" s="242"/>
      <c r="D115" s="242"/>
      <c r="E115" s="242"/>
      <c r="F115" s="206"/>
      <c r="G115" s="242"/>
      <c r="H115" s="260"/>
      <c r="I115" s="261"/>
      <c r="J115" s="262"/>
      <c r="K115" s="242"/>
    </row>
    <row r="116" spans="2:11">
      <c r="B116" s="242"/>
      <c r="C116" s="242"/>
      <c r="D116" s="242"/>
      <c r="E116" s="242"/>
      <c r="F116" s="206"/>
      <c r="G116" s="242"/>
      <c r="H116" s="260"/>
      <c r="I116" s="261"/>
      <c r="J116" s="262"/>
      <c r="K116" s="242"/>
    </row>
    <row r="117" spans="2:11">
      <c r="D117" s="242"/>
      <c r="E117" s="242"/>
      <c r="F117" s="206"/>
      <c r="G117" s="242"/>
      <c r="H117" s="260"/>
      <c r="I117" s="261"/>
      <c r="J117" s="262"/>
      <c r="K117" s="242"/>
    </row>
    <row r="118" spans="2:11">
      <c r="D118" s="242"/>
      <c r="E118" s="242"/>
      <c r="F118" s="206"/>
      <c r="G118" s="242"/>
      <c r="H118" s="260"/>
      <c r="I118" s="261"/>
      <c r="J118" s="262"/>
      <c r="K118" s="242"/>
    </row>
    <row r="119" spans="2:11">
      <c r="D119" s="242"/>
      <c r="E119" s="242"/>
      <c r="F119" s="206"/>
      <c r="G119" s="242"/>
      <c r="H119" s="260"/>
      <c r="I119" s="261"/>
      <c r="J119" s="262"/>
      <c r="K119" s="242"/>
    </row>
    <row r="120" spans="2:11">
      <c r="D120" s="242"/>
      <c r="E120" s="242"/>
      <c r="F120" s="206"/>
      <c r="G120" s="242"/>
      <c r="H120" s="260"/>
      <c r="I120" s="261"/>
      <c r="J120" s="262"/>
      <c r="K120" s="242"/>
    </row>
    <row r="121" spans="2:11">
      <c r="D121" s="242"/>
      <c r="E121" s="242"/>
      <c r="F121" s="206"/>
      <c r="G121" s="242"/>
      <c r="H121" s="260"/>
      <c r="I121" s="261"/>
      <c r="J121" s="262"/>
      <c r="K121" s="242"/>
    </row>
    <row r="122" spans="2:11">
      <c r="D122" s="242"/>
      <c r="E122" s="242"/>
      <c r="F122" s="206"/>
      <c r="G122" s="242"/>
      <c r="H122" s="260"/>
      <c r="I122" s="261"/>
      <c r="J122" s="262"/>
      <c r="K122" s="242"/>
    </row>
    <row r="123" spans="2:11">
      <c r="D123" s="242"/>
      <c r="E123" s="242"/>
      <c r="F123" s="206"/>
      <c r="G123" s="242"/>
      <c r="H123" s="260"/>
      <c r="I123" s="261"/>
      <c r="J123" s="262"/>
      <c r="K123" s="242"/>
    </row>
    <row r="124" spans="2:11">
      <c r="D124" s="242"/>
      <c r="E124" s="242"/>
      <c r="F124" s="206"/>
      <c r="G124" s="242"/>
      <c r="H124" s="260"/>
      <c r="I124" s="261"/>
      <c r="J124" s="262"/>
      <c r="K124" s="242"/>
    </row>
    <row r="125" spans="2:11">
      <c r="D125" s="242"/>
      <c r="E125" s="242"/>
      <c r="F125" s="206"/>
      <c r="G125" s="242"/>
      <c r="H125" s="260"/>
      <c r="I125" s="261"/>
      <c r="J125" s="262"/>
      <c r="K125" s="242"/>
    </row>
    <row r="126" spans="2:11">
      <c r="D126" s="242"/>
      <c r="E126" s="242"/>
      <c r="F126" s="206"/>
      <c r="G126" s="242"/>
      <c r="H126" s="260"/>
      <c r="I126" s="261"/>
      <c r="J126" s="262"/>
      <c r="K126" s="242"/>
    </row>
    <row r="127" spans="2:11">
      <c r="D127" s="242"/>
      <c r="E127" s="242"/>
      <c r="F127" s="206"/>
      <c r="G127" s="242"/>
      <c r="H127" s="260"/>
      <c r="I127" s="261"/>
      <c r="J127" s="262"/>
      <c r="K127" s="242"/>
    </row>
    <row r="128" spans="2:11">
      <c r="D128" s="242"/>
      <c r="E128" s="242"/>
      <c r="F128" s="206"/>
      <c r="G128" s="242"/>
      <c r="H128" s="260"/>
      <c r="I128" s="261"/>
      <c r="J128" s="262"/>
      <c r="K128" s="242"/>
    </row>
    <row r="129" spans="4:11">
      <c r="D129" s="242"/>
      <c r="E129" s="242"/>
      <c r="F129" s="206"/>
      <c r="G129" s="242"/>
      <c r="H129" s="260"/>
      <c r="I129" s="261"/>
      <c r="J129" s="262"/>
      <c r="K129" s="242"/>
    </row>
    <row r="130" spans="4:11">
      <c r="D130" s="242"/>
      <c r="E130" s="242"/>
      <c r="F130" s="206"/>
      <c r="G130" s="242"/>
      <c r="H130" s="260"/>
      <c r="I130" s="261"/>
      <c r="J130" s="262"/>
      <c r="K130" s="242"/>
    </row>
    <row r="131" spans="4:11">
      <c r="D131" s="242"/>
      <c r="E131" s="242"/>
      <c r="F131" s="206"/>
      <c r="G131" s="242"/>
      <c r="H131" s="260"/>
      <c r="I131" s="261"/>
      <c r="J131" s="262"/>
      <c r="K131" s="242"/>
    </row>
    <row r="132" spans="4:11">
      <c r="D132" s="242"/>
      <c r="E132" s="242"/>
      <c r="F132" s="206"/>
      <c r="G132" s="242"/>
      <c r="H132" s="260"/>
      <c r="I132" s="261"/>
      <c r="J132" s="262"/>
      <c r="K132" s="242"/>
    </row>
    <row r="133" spans="4:11">
      <c r="D133" s="242"/>
      <c r="E133" s="242"/>
      <c r="F133" s="206"/>
      <c r="G133" s="242"/>
      <c r="H133" s="260"/>
      <c r="I133" s="261"/>
      <c r="J133" s="262"/>
      <c r="K133" s="242"/>
    </row>
    <row r="134" spans="4:11">
      <c r="D134" s="242"/>
      <c r="E134" s="242"/>
      <c r="F134" s="206"/>
      <c r="G134" s="242"/>
      <c r="H134" s="260"/>
      <c r="I134" s="261"/>
      <c r="J134" s="262"/>
    </row>
    <row r="135" spans="4:11">
      <c r="D135" s="242"/>
      <c r="E135" s="242"/>
      <c r="F135" s="206"/>
      <c r="G135" s="242"/>
      <c r="H135" s="260"/>
      <c r="I135" s="261"/>
      <c r="J135" s="262"/>
    </row>
    <row r="136" spans="4:11">
      <c r="D136" s="242"/>
      <c r="E136" s="242"/>
      <c r="F136" s="206"/>
      <c r="G136" s="242"/>
      <c r="H136" s="260"/>
      <c r="I136" s="261"/>
      <c r="J136" s="262"/>
    </row>
    <row r="137" spans="4:11">
      <c r="D137" s="242"/>
      <c r="E137" s="242"/>
      <c r="F137" s="206"/>
      <c r="G137" s="242"/>
      <c r="H137" s="260"/>
      <c r="I137" s="261"/>
      <c r="J137" s="262"/>
    </row>
    <row r="138" spans="4:11">
      <c r="D138" s="242"/>
      <c r="E138" s="242"/>
      <c r="F138" s="206"/>
      <c r="G138" s="242"/>
      <c r="H138" s="260"/>
      <c r="I138" s="261"/>
      <c r="J138" s="262"/>
    </row>
    <row r="139" spans="4:11">
      <c r="D139" s="242"/>
      <c r="E139" s="242"/>
      <c r="F139" s="206"/>
      <c r="G139" s="242"/>
      <c r="H139" s="260"/>
      <c r="I139" s="261"/>
      <c r="J139" s="262"/>
    </row>
    <row r="140" spans="4:11">
      <c r="D140" s="242"/>
      <c r="E140" s="242"/>
      <c r="F140" s="206"/>
      <c r="G140" s="242"/>
      <c r="H140" s="260"/>
      <c r="I140" s="261"/>
      <c r="J140" s="262"/>
    </row>
    <row r="141" spans="4:11">
      <c r="D141" s="242"/>
      <c r="E141" s="242"/>
      <c r="F141" s="206"/>
      <c r="G141" s="242"/>
      <c r="H141" s="260"/>
      <c r="I141" s="266"/>
      <c r="J141" s="262"/>
    </row>
    <row r="142" spans="4:11">
      <c r="D142" s="242"/>
      <c r="E142" s="242"/>
      <c r="F142" s="206"/>
      <c r="G142" s="242"/>
      <c r="H142" s="260"/>
      <c r="I142" s="266"/>
      <c r="J142" s="262"/>
    </row>
    <row r="143" spans="4:11">
      <c r="D143" s="242"/>
      <c r="E143" s="242"/>
      <c r="F143" s="206"/>
      <c r="G143" s="242"/>
      <c r="H143" s="260"/>
      <c r="I143" s="266"/>
      <c r="J143" s="262"/>
    </row>
    <row r="144" spans="4:11">
      <c r="D144" s="242"/>
      <c r="E144" s="242"/>
      <c r="F144" s="206"/>
      <c r="G144" s="242"/>
      <c r="H144" s="260"/>
      <c r="I144" s="266"/>
      <c r="J144" s="262"/>
    </row>
    <row r="145" spans="4:10">
      <c r="D145" s="242"/>
      <c r="E145" s="242"/>
      <c r="F145" s="206"/>
      <c r="G145" s="242"/>
      <c r="H145" s="260"/>
      <c r="I145" s="266"/>
      <c r="J145" s="262"/>
    </row>
    <row r="146" spans="4:10">
      <c r="D146" s="242"/>
      <c r="E146" s="242"/>
      <c r="F146" s="206"/>
      <c r="G146" s="242"/>
      <c r="H146" s="260"/>
      <c r="I146" s="266"/>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62"/>
    </row>
    <row r="184" spans="4:10">
      <c r="D184" s="242"/>
      <c r="E184" s="242"/>
      <c r="F184" s="206"/>
      <c r="G184" s="242"/>
      <c r="H184" s="260"/>
      <c r="I184" s="266"/>
      <c r="J184" s="262"/>
    </row>
    <row r="185" spans="4:10">
      <c r="D185" s="242"/>
      <c r="E185" s="242"/>
      <c r="F185" s="206"/>
      <c r="G185" s="242"/>
      <c r="H185" s="260"/>
      <c r="I185" s="266"/>
      <c r="J185" s="262"/>
    </row>
    <row r="186" spans="4:10">
      <c r="D186" s="242"/>
      <c r="E186" s="242"/>
      <c r="F186" s="206"/>
      <c r="G186" s="242"/>
      <c r="H186" s="260"/>
      <c r="I186" s="266"/>
      <c r="J186" s="206"/>
    </row>
    <row r="187" spans="4:10">
      <c r="D187" s="242"/>
      <c r="E187" s="242"/>
      <c r="F187" s="206"/>
      <c r="G187" s="242"/>
      <c r="H187" s="260"/>
      <c r="I187" s="266"/>
      <c r="J187" s="206"/>
    </row>
    <row r="188" spans="4:10">
      <c r="D188" s="242"/>
      <c r="E188" s="242"/>
      <c r="F188" s="206"/>
      <c r="G188" s="242"/>
      <c r="H188" s="260"/>
      <c r="I188" s="266"/>
      <c r="J188" s="206"/>
    </row>
    <row r="189" spans="4:10">
      <c r="D189" s="242"/>
      <c r="E189" s="242"/>
      <c r="F189" s="206"/>
      <c r="G189" s="242"/>
      <c r="H189" s="260"/>
      <c r="I189" s="266"/>
      <c r="J189" s="206"/>
    </row>
    <row r="190" spans="4:10">
      <c r="D190" s="242"/>
      <c r="E190" s="242"/>
      <c r="F190" s="206"/>
      <c r="G190" s="242"/>
      <c r="H190" s="260"/>
      <c r="I190" s="266"/>
      <c r="J190" s="206"/>
    </row>
    <row r="191" spans="4:10">
      <c r="D191" s="242"/>
      <c r="E191" s="242"/>
      <c r="F191" s="206"/>
      <c r="G191" s="242"/>
      <c r="H191" s="260"/>
      <c r="I191" s="266"/>
      <c r="J191" s="206"/>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60"/>
      <c r="I253" s="266"/>
      <c r="J253" s="206"/>
    </row>
    <row r="254" spans="4:10">
      <c r="D254" s="242"/>
      <c r="E254" s="242"/>
      <c r="F254" s="206"/>
      <c r="G254" s="242"/>
      <c r="H254" s="260"/>
      <c r="I254" s="266"/>
      <c r="J254" s="206"/>
    </row>
    <row r="255" spans="4:10">
      <c r="D255" s="242"/>
      <c r="E255" s="242"/>
      <c r="F255" s="206"/>
      <c r="G255" s="242"/>
      <c r="H255" s="260"/>
      <c r="I255" s="266"/>
      <c r="J255" s="206"/>
    </row>
    <row r="256" spans="4:10">
      <c r="D256" s="242"/>
      <c r="E256" s="242"/>
      <c r="F256" s="206"/>
      <c r="G256" s="242"/>
      <c r="H256" s="206"/>
      <c r="I256" s="266"/>
      <c r="J256" s="206"/>
    </row>
    <row r="257" spans="4:10">
      <c r="D257" s="242"/>
      <c r="E257" s="242"/>
      <c r="F257" s="206"/>
      <c r="G257" s="242"/>
      <c r="H257" s="206"/>
      <c r="I257" s="266"/>
      <c r="J257" s="206"/>
    </row>
    <row r="258" spans="4:10">
      <c r="D258" s="242"/>
      <c r="E258" s="242"/>
      <c r="F258" s="206"/>
      <c r="G258" s="242"/>
      <c r="H258" s="206"/>
      <c r="I258" s="266"/>
      <c r="J258" s="206"/>
    </row>
    <row r="259" spans="4:10">
      <c r="D259" s="242"/>
      <c r="E259" s="242"/>
      <c r="F259" s="206"/>
      <c r="G259" s="242"/>
      <c r="H259" s="206"/>
      <c r="I259" s="266"/>
      <c r="J259" s="206"/>
    </row>
    <row r="260" spans="4:10">
      <c r="D260" s="242"/>
      <c r="E260" s="242"/>
      <c r="F260" s="206"/>
      <c r="G260" s="242"/>
      <c r="H260" s="206"/>
      <c r="I260" s="266"/>
      <c r="J260" s="206"/>
    </row>
    <row r="261" spans="4:10">
      <c r="D261" s="242"/>
      <c r="E261" s="242"/>
      <c r="F261" s="206"/>
      <c r="G261" s="242"/>
      <c r="H261" s="206"/>
      <c r="I261" s="266"/>
      <c r="J261" s="206"/>
    </row>
    <row r="262" spans="4:10">
      <c r="D262" s="242"/>
      <c r="E262" s="242"/>
      <c r="F262" s="206"/>
      <c r="G262" s="242"/>
      <c r="H262" s="206"/>
      <c r="I262" s="266"/>
      <c r="J262" s="206"/>
    </row>
    <row r="263" spans="4:10">
      <c r="D263" s="242"/>
      <c r="E263" s="242"/>
      <c r="F263" s="206"/>
      <c r="G263" s="242"/>
      <c r="H263" s="206"/>
      <c r="I263" s="266"/>
      <c r="J263" s="206"/>
    </row>
    <row r="264" spans="4:10">
      <c r="D264" s="242"/>
      <c r="E264" s="242"/>
      <c r="F264" s="206"/>
      <c r="G264" s="242"/>
      <c r="H264" s="206"/>
      <c r="I264" s="266"/>
      <c r="J264" s="206"/>
    </row>
    <row r="265" spans="4:10">
      <c r="D265" s="242"/>
      <c r="E265" s="242"/>
      <c r="F265" s="206"/>
      <c r="G265" s="242"/>
      <c r="H265" s="206"/>
      <c r="I265" s="266"/>
      <c r="J265" s="206"/>
    </row>
    <row r="266" spans="4:10">
      <c r="D266" s="242"/>
      <c r="E266" s="242"/>
      <c r="F266" s="206"/>
      <c r="G266" s="242"/>
      <c r="H266" s="206"/>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D272" s="242"/>
      <c r="E272" s="242"/>
      <c r="F272" s="206"/>
      <c r="G272" s="242"/>
      <c r="H272" s="206"/>
      <c r="I272" s="266"/>
      <c r="J272" s="206"/>
    </row>
    <row r="273" spans="4:10">
      <c r="D273" s="242"/>
      <c r="E273" s="242"/>
      <c r="F273" s="206"/>
      <c r="G273" s="242"/>
      <c r="H273" s="206"/>
      <c r="I273" s="266"/>
      <c r="J273" s="206"/>
    </row>
    <row r="274" spans="4:10">
      <c r="D274" s="242"/>
      <c r="E274" s="242"/>
      <c r="F274" s="206"/>
      <c r="G274" s="242"/>
      <c r="H274" s="206"/>
      <c r="I274" s="266"/>
      <c r="J274" s="206"/>
    </row>
    <row r="275" spans="4:10">
      <c r="D275" s="242"/>
      <c r="E275" s="242"/>
      <c r="F275" s="206"/>
      <c r="G275" s="242"/>
      <c r="H275" s="206"/>
      <c r="I275" s="266"/>
      <c r="J275" s="206"/>
    </row>
    <row r="276" spans="4:10">
      <c r="D276" s="242"/>
      <c r="E276" s="242"/>
      <c r="F276" s="206"/>
      <c r="G276" s="242"/>
      <c r="H276" s="206"/>
      <c r="I276" s="266"/>
      <c r="J276" s="206"/>
    </row>
    <row r="277" spans="4:10">
      <c r="D277" s="242"/>
      <c r="E277" s="242"/>
      <c r="F277" s="206"/>
      <c r="G277" s="242"/>
      <c r="H277" s="206"/>
      <c r="I277" s="266"/>
      <c r="J277" s="206"/>
    </row>
    <row r="278" spans="4:10">
      <c r="D278" s="242"/>
      <c r="E278" s="242"/>
      <c r="F278" s="206"/>
      <c r="G278" s="242"/>
      <c r="H278" s="206"/>
      <c r="I278" s="266"/>
      <c r="J278" s="206"/>
    </row>
    <row r="279" spans="4:10">
      <c r="D279" s="242"/>
      <c r="E279" s="242"/>
      <c r="F279" s="206"/>
      <c r="G279" s="242"/>
      <c r="H279" s="206"/>
      <c r="I279" s="266"/>
      <c r="J279" s="206"/>
    </row>
    <row r="280" spans="4:10">
      <c r="I280" s="267"/>
    </row>
    <row r="281" spans="4:10">
      <c r="I281" s="267"/>
    </row>
    <row r="282" spans="4:10">
      <c r="I282" s="267"/>
    </row>
    <row r="283" spans="4:10">
      <c r="I283" s="267"/>
    </row>
    <row r="284" spans="4:10">
      <c r="I284" s="267"/>
    </row>
    <row r="285" spans="4:10">
      <c r="I285" s="267"/>
    </row>
    <row r="286" spans="4:10">
      <c r="I286" s="267"/>
    </row>
    <row r="287" spans="4:10">
      <c r="I287" s="267"/>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3:O14"/>
  <sheetViews>
    <sheetView view="pageBreakPreview" zoomScale="110" zoomScaleSheetLayoutView="110" workbookViewId="0">
      <selection activeCell="D4" sqref="D4"/>
    </sheetView>
  </sheetViews>
  <sheetFormatPr defaultColWidth="8.7109375" defaultRowHeight="12.75"/>
  <cols>
    <col min="1" max="1" width="11.7109375" style="50" customWidth="1"/>
    <col min="2" max="2" width="31.7109375" style="50" customWidth="1"/>
    <col min="3" max="3" width="13.42578125" style="50" customWidth="1"/>
    <col min="4" max="4" width="26.42578125" style="50" customWidth="1"/>
    <col min="5" max="16384" width="8.7109375" style="50"/>
  </cols>
  <sheetData>
    <row r="3" spans="1:15" ht="19.899999999999999" customHeight="1" thickBot="1">
      <c r="A3" s="88" t="s">
        <v>48</v>
      </c>
      <c r="B3" s="87"/>
      <c r="C3" s="86"/>
      <c r="D3" s="85"/>
      <c r="E3" s="72"/>
      <c r="F3" s="71"/>
      <c r="G3" s="70"/>
      <c r="H3" s="69"/>
      <c r="I3" s="69"/>
      <c r="J3" s="69"/>
      <c r="K3" s="69"/>
      <c r="L3" s="69"/>
      <c r="M3" s="70"/>
      <c r="N3" s="55"/>
      <c r="O3" s="55"/>
    </row>
    <row r="4" spans="1:15" ht="19.899999999999999" customHeight="1">
      <c r="A4" s="84" t="s">
        <v>179</v>
      </c>
      <c r="B4" s="83" t="s">
        <v>178</v>
      </c>
      <c r="C4" s="82"/>
      <c r="D4" s="81">
        <f>'M1.0'!J16+'M2.0'!J17+'M1.1'!J17+'M1.2'!J17+'M2.1'!J17+'M2.2'!J17+'M2.2.1'!J17</f>
        <v>0</v>
      </c>
      <c r="E4" s="72"/>
      <c r="F4" s="71"/>
      <c r="G4" s="70"/>
      <c r="H4" s="69"/>
      <c r="I4" s="69"/>
      <c r="J4" s="69"/>
      <c r="K4" s="69"/>
      <c r="L4" s="69"/>
      <c r="M4" s="68"/>
      <c r="N4" s="55"/>
      <c r="O4" s="55"/>
    </row>
    <row r="5" spans="1:15" ht="19.899999999999999" customHeight="1">
      <c r="A5" s="80" t="s">
        <v>177</v>
      </c>
      <c r="B5" s="79" t="s">
        <v>37</v>
      </c>
      <c r="C5" s="78"/>
      <c r="D5" s="77">
        <f>'M1.0'!J43+'M2.0'!J44+'M1.1'!J44+'M1.2'!J44+'M2.1'!J44+'M2.2'!J42+'M2.2.1'!J43</f>
        <v>0</v>
      </c>
      <c r="E5" s="72"/>
      <c r="F5" s="71"/>
      <c r="G5" s="70"/>
      <c r="H5" s="69"/>
      <c r="I5" s="69"/>
      <c r="J5" s="69"/>
      <c r="K5" s="69"/>
      <c r="L5" s="69"/>
      <c r="M5" s="68"/>
      <c r="N5" s="55"/>
      <c r="O5" s="55"/>
    </row>
    <row r="6" spans="1:15" ht="19.899999999999999" customHeight="1">
      <c r="A6" s="76" t="s">
        <v>175</v>
      </c>
      <c r="B6" s="75" t="s">
        <v>38</v>
      </c>
      <c r="C6" s="74"/>
      <c r="D6" s="73">
        <f>'M1.0'!J71+'M2.0'!J83+'M1.1'!J60+'M1.2'!J60+'M2.1'!J60+'M2.2'!J61+'M2.2.1'!J58</f>
        <v>0</v>
      </c>
      <c r="E6" s="72"/>
      <c r="F6" s="71"/>
      <c r="G6" s="70"/>
      <c r="H6" s="69"/>
      <c r="I6" s="69"/>
      <c r="J6" s="69"/>
      <c r="K6" s="69"/>
      <c r="L6" s="69"/>
      <c r="M6" s="68"/>
      <c r="N6" s="55"/>
      <c r="O6" s="55"/>
    </row>
    <row r="7" spans="1:15" ht="19.899999999999999" customHeight="1">
      <c r="A7" s="76" t="s">
        <v>185</v>
      </c>
      <c r="B7" s="75" t="s">
        <v>39</v>
      </c>
      <c r="C7" s="74"/>
      <c r="D7" s="73">
        <f>'M1.0'!J83+'M2.0'!J95+'M1.1'!J72+'M1.2'!J72+'M2.1'!J72+'M2.2'!J73+'M2.2.1'!J70</f>
        <v>0</v>
      </c>
      <c r="E7" s="72"/>
      <c r="F7" s="71"/>
      <c r="G7" s="70"/>
      <c r="H7" s="69"/>
      <c r="I7" s="69"/>
      <c r="J7" s="69"/>
      <c r="K7" s="69"/>
      <c r="L7" s="69"/>
      <c r="M7" s="68"/>
      <c r="N7" s="55"/>
      <c r="O7" s="55"/>
    </row>
    <row r="8" spans="1:15" ht="19.899999999999999" customHeight="1" thickBot="1">
      <c r="A8" s="128" t="s">
        <v>102</v>
      </c>
      <c r="B8" s="129" t="s">
        <v>50</v>
      </c>
      <c r="C8" s="130"/>
      <c r="D8" s="131">
        <f>SUM(D4:D7)*0.1</f>
        <v>0</v>
      </c>
      <c r="E8" s="72"/>
      <c r="F8" s="71"/>
      <c r="G8" s="70"/>
      <c r="H8" s="69"/>
      <c r="I8" s="69"/>
      <c r="J8" s="69"/>
      <c r="K8" s="69"/>
      <c r="L8" s="69"/>
      <c r="M8" s="68"/>
      <c r="N8" s="55"/>
      <c r="O8" s="55"/>
    </row>
    <row r="9" spans="1:15" s="59" customFormat="1" ht="19.899999999999999" customHeight="1">
      <c r="A9" s="67" t="s">
        <v>169</v>
      </c>
      <c r="B9" s="66"/>
      <c r="C9" s="60"/>
      <c r="D9" s="65">
        <f>SUM(D4:D8)</f>
        <v>0</v>
      </c>
      <c r="E9" s="64"/>
      <c r="F9" s="63"/>
      <c r="G9" s="61"/>
      <c r="H9" s="62"/>
      <c r="I9" s="62"/>
      <c r="J9" s="62"/>
      <c r="K9" s="62"/>
      <c r="L9" s="62"/>
      <c r="M9" s="61"/>
      <c r="N9" s="60"/>
      <c r="O9" s="60"/>
    </row>
    <row r="10" spans="1:15" ht="19.899999999999999" customHeight="1">
      <c r="A10" s="58" t="s">
        <v>180</v>
      </c>
      <c r="B10" s="57"/>
      <c r="C10" s="57"/>
      <c r="D10" s="56">
        <f>D9*0.22</f>
        <v>0</v>
      </c>
      <c r="F10" s="55"/>
      <c r="G10" s="55"/>
      <c r="H10" s="55"/>
      <c r="I10" s="55"/>
      <c r="J10" s="55"/>
      <c r="K10" s="55"/>
      <c r="L10" s="55"/>
      <c r="M10" s="55"/>
      <c r="N10" s="55"/>
      <c r="O10" s="55"/>
    </row>
    <row r="11" spans="1:15" ht="19.899999999999999" customHeight="1" thickBot="1">
      <c r="A11" s="54" t="s">
        <v>168</v>
      </c>
      <c r="B11" s="53"/>
      <c r="C11" s="53"/>
      <c r="D11" s="52">
        <f>D9*1.22</f>
        <v>0</v>
      </c>
    </row>
    <row r="12" spans="1:15" ht="13.5" thickTop="1"/>
    <row r="14" spans="1:15">
      <c r="D14" s="51"/>
    </row>
  </sheetData>
  <phoneticPr fontId="31" type="noConversion"/>
  <pageMargins left="0.70866141732283472" right="0.70866141732283472" top="0.74803149606299213" bottom="0.74803149606299213" header="0.31496062992125984" footer="0.31496062992125984"/>
  <pageSetup paperSize="9" orientation="portrait" r:id="rId1"/>
  <headerFooter>
    <oddHeader>&amp;CProjekt Dolenje in Gorenje Ponikve:
Kanalizacija, rekonstrukcija vodovoda in pločnik med naseljema</oddHeader>
    <oddFooter>&amp;R&amp;P/&amp;N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L9"/>
  <sheetViews>
    <sheetView view="pageBreakPreview" zoomScale="150" zoomScaleNormal="140" zoomScaleSheetLayoutView="150" workbookViewId="0">
      <selection activeCell="C23" sqref="C23"/>
    </sheetView>
  </sheetViews>
  <sheetFormatPr defaultColWidth="8.7109375" defaultRowHeight="12.75"/>
  <cols>
    <col min="2" max="2" width="11.7109375" customWidth="1"/>
    <col min="3" max="3" width="36.7109375" customWidth="1"/>
    <col min="4" max="4" width="6.7109375" customWidth="1"/>
    <col min="5" max="5" width="11.7109375" customWidth="1"/>
    <col min="6" max="6" width="16.7109375" customWidth="1"/>
    <col min="7" max="11" width="0" hidden="1" customWidth="1"/>
    <col min="12" max="12" width="18.7109375" customWidth="1"/>
  </cols>
  <sheetData>
    <row r="1" spans="1:12" s="2" customFormat="1" ht="15.75" thickBot="1">
      <c r="A1" s="30" t="s">
        <v>131</v>
      </c>
      <c r="B1" s="31" t="s">
        <v>135</v>
      </c>
      <c r="C1" s="32" t="s">
        <v>133</v>
      </c>
      <c r="D1" s="31" t="s">
        <v>136</v>
      </c>
      <c r="E1" s="33" t="s">
        <v>132</v>
      </c>
      <c r="F1" s="34" t="s">
        <v>137</v>
      </c>
      <c r="G1" s="34" t="s">
        <v>137</v>
      </c>
      <c r="H1" s="34" t="s">
        <v>137</v>
      </c>
      <c r="I1" s="34" t="s">
        <v>137</v>
      </c>
      <c r="J1" s="34" t="s">
        <v>137</v>
      </c>
      <c r="K1" s="34" t="s">
        <v>137</v>
      </c>
      <c r="L1" s="35" t="s">
        <v>165</v>
      </c>
    </row>
    <row r="2" spans="1:12" s="11" customFormat="1" ht="16.899999999999999" customHeight="1">
      <c r="A2" s="96" t="s">
        <v>138</v>
      </c>
      <c r="B2" s="26"/>
      <c r="C2" s="91"/>
      <c r="D2" s="26"/>
      <c r="E2" s="27"/>
      <c r="F2" s="28"/>
      <c r="G2" s="29">
        <v>2495</v>
      </c>
      <c r="H2" s="29"/>
      <c r="I2" s="29"/>
      <c r="J2" s="29"/>
      <c r="K2" s="29"/>
      <c r="L2" s="28">
        <f>SUM(L3)</f>
        <v>0</v>
      </c>
    </row>
    <row r="3" spans="1:12" s="11" customFormat="1" ht="16.899999999999999" customHeight="1">
      <c r="A3" s="100" t="s">
        <v>147</v>
      </c>
      <c r="B3" s="23"/>
      <c r="C3" s="95"/>
      <c r="D3" s="23"/>
      <c r="E3" s="446"/>
      <c r="F3" s="25"/>
      <c r="G3" s="15">
        <v>2498</v>
      </c>
      <c r="H3" s="15"/>
      <c r="I3" s="15"/>
      <c r="J3" s="15"/>
      <c r="K3" s="15"/>
      <c r="L3" s="14">
        <f>SUM(L4:L9)</f>
        <v>0</v>
      </c>
    </row>
    <row r="4" spans="1:12" ht="25.5">
      <c r="A4" s="109" t="s">
        <v>140</v>
      </c>
      <c r="B4" s="110" t="s">
        <v>116</v>
      </c>
      <c r="C4" s="111" t="s">
        <v>117</v>
      </c>
      <c r="D4" s="110" t="s">
        <v>190</v>
      </c>
      <c r="E4" s="445">
        <v>1</v>
      </c>
      <c r="F4" s="21"/>
      <c r="G4" s="19">
        <v>5876</v>
      </c>
      <c r="H4" s="19">
        <v>2498</v>
      </c>
      <c r="I4" s="19"/>
      <c r="J4" s="19">
        <v>5135</v>
      </c>
      <c r="K4" s="19"/>
      <c r="L4" s="18">
        <f t="shared" ref="L4:L5" si="0">E4*F4</f>
        <v>0</v>
      </c>
    </row>
    <row r="5" spans="1:12" ht="25.5">
      <c r="A5" s="109" t="s">
        <v>141</v>
      </c>
      <c r="B5" s="110" t="s">
        <v>118</v>
      </c>
      <c r="C5" s="111" t="s">
        <v>119</v>
      </c>
      <c r="D5" s="110" t="s">
        <v>190</v>
      </c>
      <c r="E5" s="445">
        <v>1</v>
      </c>
      <c r="F5" s="21"/>
      <c r="G5" s="19">
        <v>5876</v>
      </c>
      <c r="H5" s="19">
        <v>2498</v>
      </c>
      <c r="I5" s="19"/>
      <c r="J5" s="19">
        <v>5135</v>
      </c>
      <c r="K5" s="19"/>
      <c r="L5" s="18">
        <f t="shared" si="0"/>
        <v>0</v>
      </c>
    </row>
    <row r="6" spans="1:12" ht="102">
      <c r="A6" s="109" t="s">
        <v>142</v>
      </c>
      <c r="B6" s="599" t="s">
        <v>63</v>
      </c>
      <c r="C6" s="605" t="s">
        <v>743</v>
      </c>
      <c r="D6" s="600"/>
      <c r="E6" s="600"/>
      <c r="F6" s="601"/>
      <c r="G6" s="602"/>
      <c r="H6" s="603"/>
      <c r="I6" s="604"/>
      <c r="J6" s="603"/>
      <c r="K6" s="598"/>
      <c r="L6" s="598"/>
    </row>
    <row r="7" spans="1:12">
      <c r="A7" s="598"/>
      <c r="B7" s="599"/>
      <c r="C7" s="606" t="s">
        <v>64</v>
      </c>
      <c r="D7" s="600" t="s">
        <v>182</v>
      </c>
      <c r="E7" s="601">
        <v>1</v>
      </c>
      <c r="F7" s="607"/>
      <c r="G7" s="598">
        <v>5876</v>
      </c>
      <c r="H7" s="598">
        <v>2498</v>
      </c>
      <c r="I7" s="598"/>
      <c r="J7" s="598">
        <v>5135</v>
      </c>
      <c r="K7" s="598"/>
      <c r="L7" s="608">
        <f t="shared" ref="L7:L9" si="1">E7*F7</f>
        <v>0</v>
      </c>
    </row>
    <row r="8" spans="1:12">
      <c r="A8" s="598"/>
      <c r="B8" s="599"/>
      <c r="C8" s="606" t="s">
        <v>65</v>
      </c>
      <c r="D8" s="600" t="s">
        <v>182</v>
      </c>
      <c r="E8" s="601">
        <v>1</v>
      </c>
      <c r="F8" s="607"/>
      <c r="G8" s="598">
        <v>5876</v>
      </c>
      <c r="H8" s="598">
        <v>2498</v>
      </c>
      <c r="I8" s="598"/>
      <c r="J8" s="598">
        <v>5135</v>
      </c>
      <c r="K8" s="598"/>
      <c r="L8" s="608">
        <f t="shared" si="1"/>
        <v>0</v>
      </c>
    </row>
    <row r="9" spans="1:12">
      <c r="A9" s="598"/>
      <c r="B9" s="599"/>
      <c r="C9" s="606" t="s">
        <v>66</v>
      </c>
      <c r="D9" s="600" t="s">
        <v>182</v>
      </c>
      <c r="E9" s="601">
        <v>1</v>
      </c>
      <c r="F9" s="607"/>
      <c r="G9" s="598">
        <v>5876</v>
      </c>
      <c r="H9" s="598">
        <v>2498</v>
      </c>
      <c r="I9" s="598"/>
      <c r="J9" s="598">
        <v>5135</v>
      </c>
      <c r="K9" s="598"/>
      <c r="L9" s="608">
        <f t="shared" si="1"/>
        <v>0</v>
      </c>
    </row>
  </sheetData>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B310"/>
  <sheetViews>
    <sheetView view="pageBreakPreview" topLeftCell="A64" zoomScale="130" zoomScaleSheetLayoutView="130" workbookViewId="0">
      <selection activeCell="F80" sqref="F80"/>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40</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Q18+Q19</f>
        <v>290.35000000000002</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f>R13+R14</f>
        <v>12</v>
      </c>
      <c r="G11" s="167"/>
      <c r="H11" s="176"/>
      <c r="I11" s="163"/>
      <c r="J11" s="176">
        <f>F11*H11</f>
        <v>0</v>
      </c>
      <c r="K11" s="136"/>
      <c r="L11" s="136" t="s">
        <v>406</v>
      </c>
      <c r="N11">
        <v>0</v>
      </c>
      <c r="O11">
        <v>41.36</v>
      </c>
      <c r="P11">
        <v>0</v>
      </c>
      <c r="Q11">
        <v>960.02</v>
      </c>
      <c r="R11">
        <v>947.94</v>
      </c>
      <c r="S11">
        <v>12.08</v>
      </c>
      <c r="T11">
        <v>0</v>
      </c>
      <c r="U11">
        <v>0</v>
      </c>
      <c r="V11">
        <v>0</v>
      </c>
      <c r="W11">
        <v>926.74</v>
      </c>
      <c r="X11">
        <v>567.21</v>
      </c>
      <c r="Y11">
        <v>157.06</v>
      </c>
      <c r="Z11">
        <v>169.02</v>
      </c>
      <c r="AA11">
        <v>33.46</v>
      </c>
      <c r="AB11">
        <v>567.21</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5</v>
      </c>
      <c r="G13" s="167"/>
      <c r="H13" s="176"/>
      <c r="I13" s="182"/>
      <c r="J13" s="176">
        <f>F13*H13</f>
        <v>0</v>
      </c>
      <c r="K13" s="136"/>
      <c r="L13" s="136" t="s">
        <v>179</v>
      </c>
      <c r="M13" t="s">
        <v>389</v>
      </c>
      <c r="N13">
        <v>11</v>
      </c>
      <c r="O13" t="s">
        <v>390</v>
      </c>
      <c r="P13" t="s">
        <v>391</v>
      </c>
      <c r="Q13">
        <v>1000</v>
      </c>
      <c r="R13">
        <v>11</v>
      </c>
    </row>
    <row r="14" spans="1:28" ht="14.25">
      <c r="A14" s="172"/>
      <c r="B14" s="173"/>
      <c r="C14" s="173"/>
      <c r="D14" s="165"/>
      <c r="E14" s="165"/>
      <c r="F14" s="166"/>
      <c r="G14" s="167"/>
      <c r="H14" s="168"/>
      <c r="I14" s="182"/>
      <c r="J14" s="168"/>
      <c r="K14" s="136"/>
      <c r="L14" s="136" t="s">
        <v>177</v>
      </c>
      <c r="M14" t="s">
        <v>389</v>
      </c>
      <c r="N14">
        <v>1</v>
      </c>
      <c r="O14" t="s">
        <v>405</v>
      </c>
      <c r="P14" t="s">
        <v>391</v>
      </c>
      <c r="Q14">
        <v>1000</v>
      </c>
      <c r="R14">
        <v>1</v>
      </c>
    </row>
    <row r="15" spans="1:28" ht="14.25">
      <c r="A15" s="172"/>
      <c r="B15" s="173"/>
      <c r="C15" s="173"/>
      <c r="D15" s="165"/>
      <c r="E15" s="165"/>
      <c r="F15" s="166"/>
      <c r="G15" s="167"/>
      <c r="H15" s="168"/>
      <c r="I15" s="182"/>
      <c r="J15" s="168"/>
      <c r="K15" s="136"/>
      <c r="L15" s="136"/>
    </row>
    <row r="16" spans="1:28" ht="15" thickBot="1">
      <c r="A16" s="183"/>
      <c r="B16" s="184" t="s">
        <v>75</v>
      </c>
      <c r="C16" s="184"/>
      <c r="D16" s="185"/>
      <c r="E16" s="185"/>
      <c r="F16" s="186"/>
      <c r="G16" s="185"/>
      <c r="H16" s="187"/>
      <c r="I16" s="188"/>
      <c r="J16" s="189">
        <f>SUM(J9:J14)</f>
        <v>0</v>
      </c>
      <c r="K16" s="136"/>
      <c r="L16" s="136"/>
    </row>
    <row r="17" spans="1:17" ht="15" thickTop="1">
      <c r="A17" s="190"/>
      <c r="B17" s="191"/>
      <c r="C17" s="191"/>
      <c r="D17" s="192"/>
      <c r="E17" s="192"/>
      <c r="F17" s="165"/>
      <c r="G17" s="192"/>
      <c r="H17" s="193"/>
      <c r="I17" s="182"/>
      <c r="J17" s="194"/>
      <c r="K17" s="136"/>
      <c r="L17" s="136" t="s">
        <v>221</v>
      </c>
      <c r="N17" t="s">
        <v>239</v>
      </c>
      <c r="P17" t="s">
        <v>238</v>
      </c>
      <c r="Q17" s="450" t="s">
        <v>394</v>
      </c>
    </row>
    <row r="18" spans="1:17" ht="14.25">
      <c r="A18" s="190"/>
      <c r="B18" s="191"/>
      <c r="C18" s="191"/>
      <c r="D18" s="192"/>
      <c r="E18" s="192"/>
      <c r="F18" s="165"/>
      <c r="G18" s="192"/>
      <c r="H18" s="193"/>
      <c r="I18" s="182"/>
      <c r="J18" s="194"/>
      <c r="K18" s="136"/>
      <c r="L18" s="136" t="s">
        <v>407</v>
      </c>
      <c r="N18">
        <v>199.9</v>
      </c>
      <c r="P18">
        <v>296.60000000000002</v>
      </c>
      <c r="Q18">
        <v>199.9</v>
      </c>
    </row>
    <row r="19" spans="1:17" ht="15">
      <c r="A19" s="195" t="s">
        <v>61</v>
      </c>
      <c r="B19" s="196" t="s">
        <v>76</v>
      </c>
      <c r="C19" s="196"/>
      <c r="D19" s="160"/>
      <c r="E19" s="160"/>
      <c r="F19" s="170"/>
      <c r="G19" s="171"/>
      <c r="H19" s="197"/>
      <c r="I19" s="180"/>
      <c r="J19" s="198"/>
      <c r="K19" s="136"/>
      <c r="L19" s="136" t="s">
        <v>408</v>
      </c>
      <c r="N19">
        <v>90.45</v>
      </c>
      <c r="P19">
        <v>470.8</v>
      </c>
      <c r="Q19">
        <v>90.45</v>
      </c>
    </row>
    <row r="20" spans="1:17" ht="15">
      <c r="A20" s="195"/>
      <c r="B20" s="196" t="s">
        <v>395</v>
      </c>
      <c r="C20" s="196"/>
      <c r="D20" s="160"/>
      <c r="E20" s="160"/>
      <c r="F20" s="170"/>
      <c r="G20" s="171"/>
      <c r="H20" s="197"/>
      <c r="I20" s="180"/>
      <c r="J20" s="198"/>
      <c r="K20" s="136"/>
      <c r="L20" s="136"/>
    </row>
    <row r="21" spans="1:17" ht="8.25" customHeight="1">
      <c r="A21" s="172"/>
      <c r="B21" s="173"/>
      <c r="C21" s="173"/>
      <c r="D21" s="160"/>
      <c r="E21" s="160"/>
      <c r="F21" s="170"/>
      <c r="G21" s="171"/>
      <c r="H21" s="197"/>
      <c r="I21" s="180"/>
      <c r="J21" s="198"/>
      <c r="K21" s="136"/>
      <c r="L21" s="136"/>
    </row>
    <row r="22" spans="1:17" ht="9" customHeight="1">
      <c r="A22" s="195"/>
      <c r="B22" s="196"/>
      <c r="C22" s="196"/>
      <c r="D22" s="165"/>
      <c r="E22" s="165"/>
      <c r="F22" s="166"/>
      <c r="G22" s="167"/>
      <c r="H22" s="193"/>
      <c r="I22" s="182"/>
      <c r="J22" s="194"/>
      <c r="K22" s="136"/>
      <c r="L22" s="136"/>
    </row>
    <row r="23" spans="1:17" ht="15">
      <c r="A23" s="195"/>
      <c r="B23" s="196"/>
      <c r="C23" s="196"/>
      <c r="D23" s="160"/>
      <c r="E23" s="160"/>
      <c r="F23" s="170"/>
      <c r="G23" s="171"/>
      <c r="H23" s="197"/>
      <c r="I23" s="180"/>
      <c r="J23" s="198"/>
      <c r="K23" s="136"/>
      <c r="L23" s="136"/>
    </row>
    <row r="24" spans="1:17" ht="51">
      <c r="A24" s="203" t="s">
        <v>61</v>
      </c>
      <c r="B24" s="204" t="s">
        <v>22</v>
      </c>
      <c r="C24" s="205"/>
      <c r="D24" s="206"/>
      <c r="E24" s="206"/>
      <c r="F24" s="207"/>
      <c r="G24" s="208"/>
      <c r="H24" s="209"/>
      <c r="I24" s="180"/>
      <c r="J24" s="194"/>
      <c r="K24" s="136"/>
      <c r="L24" s="136"/>
    </row>
    <row r="25" spans="1:17" ht="15.75">
      <c r="A25" s="210"/>
      <c r="B25" s="205" t="s">
        <v>78</v>
      </c>
      <c r="C25" s="205"/>
      <c r="D25" s="211" t="s">
        <v>108</v>
      </c>
      <c r="E25" s="206"/>
      <c r="F25" s="212">
        <f>(680*10.5+171.46)*0.33*0.66*0.95</f>
        <v>1512.8141886000001</v>
      </c>
      <c r="G25" s="208"/>
      <c r="H25" s="213"/>
      <c r="I25" s="180"/>
      <c r="J25" s="202">
        <f>F25*H25</f>
        <v>0</v>
      </c>
      <c r="K25" s="136"/>
      <c r="L25" s="136"/>
    </row>
    <row r="26" spans="1:17" ht="14.25">
      <c r="A26" s="203"/>
      <c r="B26" s="205" t="s">
        <v>79</v>
      </c>
      <c r="C26" s="205"/>
      <c r="D26" s="211" t="s">
        <v>108</v>
      </c>
      <c r="E26" s="206"/>
      <c r="F26" s="212">
        <f>(680*10.5+171.46)*0.33*0.66*0.05</f>
        <v>79.621799400000015</v>
      </c>
      <c r="G26" s="208"/>
      <c r="H26" s="213"/>
      <c r="I26" s="180"/>
      <c r="J26" s="202">
        <f>F26*H26</f>
        <v>0</v>
      </c>
      <c r="K26" s="136"/>
      <c r="L26" s="136"/>
    </row>
    <row r="27" spans="1:17" ht="14.25">
      <c r="A27" s="203"/>
      <c r="B27" s="173"/>
      <c r="C27" s="205"/>
      <c r="D27" s="214"/>
      <c r="E27" s="206"/>
      <c r="F27" s="207"/>
      <c r="G27" s="208"/>
      <c r="H27" s="215"/>
      <c r="I27" s="180"/>
      <c r="J27" s="194"/>
      <c r="K27" s="199"/>
      <c r="L27" s="199"/>
      <c r="N27" s="200"/>
      <c r="O27" s="200"/>
    </row>
    <row r="28" spans="1:17" ht="9.75" customHeight="1">
      <c r="A28" s="203"/>
      <c r="B28" s="205"/>
      <c r="C28" s="205"/>
      <c r="D28" s="206"/>
      <c r="E28" s="206"/>
      <c r="F28" s="216"/>
      <c r="G28" s="217"/>
      <c r="H28" s="209"/>
      <c r="I28" s="180"/>
      <c r="J28" s="218"/>
      <c r="K28" s="199"/>
      <c r="L28" s="199"/>
      <c r="N28" s="200"/>
      <c r="O28" s="200"/>
    </row>
    <row r="29" spans="1:17" ht="6" customHeight="1">
      <c r="A29" s="203"/>
      <c r="B29" s="205"/>
      <c r="C29" s="205"/>
      <c r="D29" s="214"/>
      <c r="E29" s="214"/>
      <c r="F29" s="714"/>
      <c r="G29" s="221"/>
      <c r="H29" s="215"/>
      <c r="I29" s="182"/>
      <c r="J29" s="194"/>
      <c r="K29" s="199"/>
      <c r="L29" s="199"/>
      <c r="N29" s="200"/>
      <c r="O29" s="200"/>
    </row>
    <row r="30" spans="1:17" ht="14.25">
      <c r="A30" s="172"/>
      <c r="B30" s="173"/>
      <c r="C30" s="173"/>
      <c r="D30" s="165"/>
      <c r="E30" s="160"/>
      <c r="F30" s="222"/>
      <c r="G30" s="223"/>
      <c r="H30" s="215"/>
      <c r="I30" s="180"/>
      <c r="J30" s="194"/>
      <c r="K30" s="199"/>
      <c r="L30" s="199"/>
      <c r="N30" s="200"/>
      <c r="O30" s="200"/>
    </row>
    <row r="31" spans="1:17" ht="51">
      <c r="A31" s="172" t="s">
        <v>63</v>
      </c>
      <c r="B31" s="224" t="s">
        <v>80</v>
      </c>
      <c r="C31" s="225"/>
      <c r="D31" s="174" t="s">
        <v>108</v>
      </c>
      <c r="E31" s="160"/>
      <c r="F31" s="175">
        <f>AA11</f>
        <v>33.46</v>
      </c>
      <c r="G31" s="167"/>
      <c r="H31" s="213"/>
      <c r="I31" s="169"/>
      <c r="J31" s="202">
        <f>F31*H31</f>
        <v>0</v>
      </c>
      <c r="K31" s="200"/>
      <c r="L31" s="199"/>
      <c r="M31" s="200"/>
    </row>
    <row r="32" spans="1:17" ht="14.25">
      <c r="A32" s="172"/>
      <c r="B32" s="224"/>
      <c r="C32" s="225"/>
      <c r="D32" s="160"/>
      <c r="E32" s="160"/>
      <c r="F32" s="166"/>
      <c r="G32" s="167"/>
      <c r="H32" s="215"/>
      <c r="I32" s="169"/>
      <c r="J32" s="194"/>
      <c r="K32" s="200"/>
      <c r="L32" s="199"/>
      <c r="M32" s="200"/>
    </row>
    <row r="33" spans="1:15" ht="38.25">
      <c r="A33" s="172" t="s">
        <v>67</v>
      </c>
      <c r="B33" s="173" t="s">
        <v>24</v>
      </c>
      <c r="C33" s="225"/>
      <c r="D33" s="174" t="s">
        <v>108</v>
      </c>
      <c r="E33" s="160"/>
      <c r="F33" s="175">
        <f>Z11</f>
        <v>169.02</v>
      </c>
      <c r="G33" s="167"/>
      <c r="H33" s="213"/>
      <c r="I33" s="169"/>
      <c r="J33" s="202">
        <f>F33*H33</f>
        <v>0</v>
      </c>
      <c r="K33" s="200"/>
      <c r="L33" s="199"/>
      <c r="M33" s="200"/>
    </row>
    <row r="34" spans="1:15" ht="14.25">
      <c r="A34" s="172"/>
      <c r="B34" s="173"/>
      <c r="C34" s="225"/>
      <c r="D34" s="165"/>
      <c r="E34" s="160"/>
      <c r="F34" s="166"/>
      <c r="G34" s="167"/>
      <c r="H34" s="215"/>
      <c r="I34" s="169"/>
      <c r="J34" s="194"/>
      <c r="K34" s="200"/>
      <c r="L34" s="199"/>
      <c r="M34" s="200"/>
    </row>
    <row r="35" spans="1:15" ht="76.5">
      <c r="A35" s="172" t="s">
        <v>68</v>
      </c>
      <c r="B35" s="224" t="s">
        <v>25</v>
      </c>
      <c r="C35" s="226"/>
      <c r="D35" s="179"/>
      <c r="E35" s="179"/>
      <c r="F35" s="166"/>
      <c r="G35" s="167"/>
      <c r="H35" s="198"/>
      <c r="I35" s="163"/>
      <c r="J35" s="198"/>
      <c r="K35" s="171"/>
      <c r="L35" s="219"/>
      <c r="M35" s="200"/>
    </row>
    <row r="36" spans="1:15" ht="15">
      <c r="A36" s="172"/>
      <c r="B36" s="173" t="s">
        <v>78</v>
      </c>
      <c r="C36" s="173"/>
      <c r="D36" s="174" t="s">
        <v>108</v>
      </c>
      <c r="E36" s="160"/>
      <c r="F36" s="175">
        <f>(F25+F26-F31-F33)*0.95</f>
        <v>1320.4581886000001</v>
      </c>
      <c r="G36" s="167"/>
      <c r="H36" s="213"/>
      <c r="I36" s="163"/>
      <c r="J36" s="202">
        <f>F36*H36</f>
        <v>0</v>
      </c>
      <c r="K36" s="171"/>
      <c r="L36" s="219"/>
      <c r="M36" s="200"/>
    </row>
    <row r="37" spans="1:15" ht="14.25">
      <c r="A37" s="172"/>
      <c r="B37" s="173" t="s">
        <v>79</v>
      </c>
      <c r="C37" s="173"/>
      <c r="D37" s="174" t="s">
        <v>108</v>
      </c>
      <c r="E37" s="160"/>
      <c r="F37" s="181">
        <f>(F25+F26-F31-F33)*0.05</f>
        <v>69.497799400000005</v>
      </c>
      <c r="G37" s="167"/>
      <c r="H37" s="213"/>
      <c r="I37" s="163"/>
      <c r="J37" s="202">
        <f>F37*H37</f>
        <v>0</v>
      </c>
      <c r="K37" s="199"/>
      <c r="L37" s="199"/>
      <c r="M37" s="200"/>
      <c r="N37" s="200"/>
      <c r="O37" s="200"/>
    </row>
    <row r="38" spans="1:15" ht="14.25">
      <c r="A38" s="172"/>
      <c r="B38" s="173"/>
      <c r="C38" s="173"/>
      <c r="D38" s="165"/>
      <c r="E38" s="160"/>
      <c r="F38" s="166"/>
      <c r="G38" s="167"/>
      <c r="H38" s="215"/>
      <c r="I38" s="163"/>
      <c r="J38" s="194"/>
      <c r="K38" s="199"/>
      <c r="L38" s="199"/>
      <c r="M38" s="200"/>
      <c r="N38" s="200"/>
      <c r="O38" s="200"/>
    </row>
    <row r="39" spans="1:15" ht="14.25">
      <c r="A39" s="227"/>
      <c r="B39" s="228"/>
      <c r="C39" s="228"/>
      <c r="D39" s="230"/>
      <c r="E39" s="230"/>
      <c r="F39" s="710"/>
      <c r="G39" s="192"/>
      <c r="H39" s="194"/>
      <c r="I39" s="169"/>
      <c r="J39" s="194"/>
      <c r="K39" s="199"/>
      <c r="L39" s="199"/>
      <c r="M39" s="200"/>
      <c r="N39" s="200"/>
      <c r="O39" s="200"/>
    </row>
    <row r="40" spans="1:15" ht="14.25">
      <c r="A40" s="172"/>
      <c r="B40" s="224"/>
      <c r="C40" s="226"/>
      <c r="D40" s="160"/>
      <c r="E40" s="160"/>
      <c r="F40" s="166"/>
      <c r="G40" s="167"/>
      <c r="H40" s="215"/>
      <c r="I40" s="163"/>
      <c r="J40" s="194"/>
      <c r="K40" s="199"/>
      <c r="L40" s="199"/>
      <c r="M40" s="200"/>
      <c r="N40" s="200"/>
      <c r="O40" s="200"/>
    </row>
    <row r="41" spans="1:15" ht="25.5">
      <c r="A41" s="172" t="s">
        <v>69</v>
      </c>
      <c r="B41" s="228" t="s">
        <v>27</v>
      </c>
      <c r="C41" s="226"/>
      <c r="D41" s="174" t="s">
        <v>108</v>
      </c>
      <c r="E41" s="160"/>
      <c r="F41" s="175">
        <f>F25+F26-F36-F37</f>
        <v>202.48000000000008</v>
      </c>
      <c r="G41" s="167"/>
      <c r="H41" s="213"/>
      <c r="I41" s="163"/>
      <c r="J41" s="202">
        <f>F41*H41</f>
        <v>0</v>
      </c>
      <c r="K41" s="199"/>
      <c r="L41" s="199"/>
      <c r="M41" s="200"/>
      <c r="N41" s="200"/>
      <c r="O41" s="200"/>
    </row>
    <row r="42" spans="1:15">
      <c r="A42" s="172"/>
      <c r="B42" s="228"/>
      <c r="C42" s="226"/>
      <c r="D42" s="165"/>
      <c r="E42" s="160"/>
      <c r="F42" s="166"/>
      <c r="G42" s="167"/>
      <c r="H42" s="215"/>
      <c r="I42" s="163"/>
      <c r="J42" s="194"/>
      <c r="K42" s="217"/>
      <c r="L42" s="200"/>
      <c r="M42" s="200"/>
      <c r="N42" s="200"/>
      <c r="O42" s="200"/>
    </row>
    <row r="43" spans="1:15" ht="13.5" thickBot="1">
      <c r="A43" s="183"/>
      <c r="B43" s="232" t="s">
        <v>28</v>
      </c>
      <c r="C43" s="232"/>
      <c r="D43" s="233"/>
      <c r="E43" s="233"/>
      <c r="F43" s="234"/>
      <c r="G43" s="235"/>
      <c r="H43" s="189"/>
      <c r="I43" s="236"/>
      <c r="J43" s="189">
        <f>SUM(J22:J42)</f>
        <v>0</v>
      </c>
      <c r="K43" s="217"/>
      <c r="L43" s="200"/>
      <c r="M43" s="200"/>
      <c r="N43" s="200"/>
      <c r="O43" s="200"/>
    </row>
    <row r="44" spans="1:15" ht="13.5" thickTop="1">
      <c r="A44" s="190"/>
      <c r="B44" s="237"/>
      <c r="C44" s="237"/>
      <c r="D44" s="238"/>
      <c r="E44" s="238"/>
      <c r="F44" s="166"/>
      <c r="G44" s="167"/>
      <c r="H44" s="194"/>
      <c r="I44" s="169"/>
      <c r="J44" s="194"/>
      <c r="K44" s="217"/>
      <c r="L44" s="200"/>
      <c r="M44" s="200"/>
      <c r="N44" s="200"/>
      <c r="O44" s="200"/>
    </row>
    <row r="45" spans="1:15">
      <c r="A45" s="190"/>
      <c r="B45" s="237"/>
      <c r="C45" s="237"/>
      <c r="D45" s="238"/>
      <c r="E45" s="238"/>
      <c r="F45" s="166"/>
      <c r="G45" s="167"/>
      <c r="H45" s="194"/>
      <c r="I45" s="169"/>
      <c r="J45" s="194"/>
      <c r="K45" s="217"/>
      <c r="L45" s="200"/>
      <c r="M45" s="200"/>
      <c r="N45" s="200"/>
      <c r="O45" s="200"/>
    </row>
    <row r="46" spans="1:15" ht="15">
      <c r="A46" s="195" t="s">
        <v>63</v>
      </c>
      <c r="B46" s="239" t="s">
        <v>29</v>
      </c>
      <c r="C46" s="239"/>
      <c r="D46" s="160"/>
      <c r="E46" s="160"/>
      <c r="F46" s="170"/>
      <c r="G46" s="171"/>
      <c r="H46" s="198"/>
      <c r="I46" s="163"/>
      <c r="J46" s="198"/>
      <c r="K46" s="217"/>
      <c r="L46" s="200"/>
      <c r="M46" s="200"/>
      <c r="N46" s="200"/>
      <c r="O46" s="200"/>
    </row>
    <row r="47" spans="1:15" ht="15">
      <c r="A47" s="195"/>
      <c r="B47" s="239"/>
      <c r="C47" s="239"/>
      <c r="D47" s="160"/>
      <c r="E47" s="160"/>
      <c r="F47" s="170"/>
      <c r="G47" s="171"/>
      <c r="H47" s="198"/>
      <c r="I47" s="163"/>
      <c r="J47" s="198"/>
      <c r="K47" s="217"/>
      <c r="L47" s="200"/>
      <c r="M47" s="200"/>
    </row>
    <row r="48" spans="1:15" ht="38.25">
      <c r="A48" s="172" t="s">
        <v>58</v>
      </c>
      <c r="B48" s="226" t="s">
        <v>409</v>
      </c>
      <c r="C48" s="226"/>
      <c r="D48" s="174" t="s">
        <v>60</v>
      </c>
      <c r="E48" s="160"/>
      <c r="F48" s="240">
        <f>Q18</f>
        <v>199.9</v>
      </c>
      <c r="G48" s="223"/>
      <c r="H48" s="213"/>
      <c r="I48" s="163"/>
      <c r="J48" s="202">
        <f>F48*H48</f>
        <v>0</v>
      </c>
      <c r="K48" s="217"/>
      <c r="L48" s="200"/>
      <c r="M48" s="200"/>
      <c r="N48" s="200"/>
      <c r="O48" s="200"/>
    </row>
    <row r="49" spans="1:15">
      <c r="A49" s="172"/>
      <c r="B49" s="226"/>
      <c r="C49" s="226"/>
      <c r="D49" s="160"/>
      <c r="E49" s="160"/>
      <c r="F49" s="170"/>
      <c r="G49" s="171"/>
      <c r="H49" s="198"/>
      <c r="I49" s="163"/>
      <c r="J49" s="198"/>
      <c r="K49" s="217"/>
      <c r="L49" s="200"/>
      <c r="M49" s="200"/>
      <c r="N49" s="200"/>
      <c r="O49" s="200"/>
    </row>
    <row r="50" spans="1:15" ht="15">
      <c r="A50" s="195"/>
      <c r="B50" s="239"/>
      <c r="C50" s="239"/>
      <c r="D50" s="160"/>
      <c r="E50" s="160"/>
      <c r="F50" s="170"/>
      <c r="G50" s="171"/>
      <c r="H50" s="198"/>
      <c r="I50" s="163"/>
      <c r="J50" s="198"/>
      <c r="K50" s="217"/>
      <c r="L50" s="200"/>
      <c r="M50" s="200"/>
      <c r="N50" s="200"/>
      <c r="O50" s="200"/>
    </row>
    <row r="51" spans="1:15" ht="38.25">
      <c r="A51" s="172" t="s">
        <v>61</v>
      </c>
      <c r="B51" s="226" t="s">
        <v>410</v>
      </c>
      <c r="C51" s="226"/>
      <c r="D51" s="174" t="s">
        <v>60</v>
      </c>
      <c r="E51" s="160"/>
      <c r="F51" s="240">
        <f>Q19</f>
        <v>90.45</v>
      </c>
      <c r="G51" s="223"/>
      <c r="H51" s="213"/>
      <c r="I51" s="163"/>
      <c r="J51" s="202">
        <f>F51*H51</f>
        <v>0</v>
      </c>
      <c r="K51" s="217"/>
      <c r="L51" s="200"/>
      <c r="M51" s="200"/>
      <c r="N51" s="200"/>
      <c r="O51" s="200"/>
    </row>
    <row r="52" spans="1:15">
      <c r="A52" s="172"/>
      <c r="B52" s="226"/>
      <c r="C52" s="226"/>
      <c r="D52" s="160"/>
      <c r="E52" s="160"/>
      <c r="F52" s="170"/>
      <c r="G52" s="171"/>
      <c r="H52" s="198"/>
      <c r="I52" s="163"/>
      <c r="J52" s="198"/>
      <c r="K52" s="217"/>
      <c r="L52" s="200"/>
      <c r="M52" s="200"/>
      <c r="N52" s="200"/>
      <c r="O52" s="200"/>
    </row>
    <row r="53" spans="1:15">
      <c r="A53" s="172"/>
      <c r="B53" s="226"/>
      <c r="C53" s="226"/>
      <c r="D53" s="160"/>
      <c r="E53" s="160"/>
      <c r="F53" s="170"/>
      <c r="G53" s="171"/>
      <c r="H53" s="198"/>
      <c r="I53" s="163"/>
      <c r="J53" s="198"/>
      <c r="K53" s="217"/>
      <c r="L53" s="200"/>
      <c r="M53" s="200"/>
      <c r="N53" s="200"/>
      <c r="O53" s="200"/>
    </row>
    <row r="54" spans="1:15" ht="51">
      <c r="A54" s="172" t="s">
        <v>63</v>
      </c>
      <c r="B54" s="241" t="s">
        <v>411</v>
      </c>
      <c r="C54" s="241"/>
      <c r="D54" s="165"/>
      <c r="E54" s="165"/>
      <c r="F54" s="166"/>
      <c r="G54" s="167"/>
      <c r="H54" s="198"/>
      <c r="I54" s="163"/>
      <c r="J54" s="198"/>
      <c r="K54" s="217"/>
      <c r="L54" s="200"/>
      <c r="M54" s="200"/>
      <c r="N54" s="200"/>
      <c r="O54" s="200"/>
    </row>
    <row r="55" spans="1:15">
      <c r="A55" s="172"/>
      <c r="B55" s="241"/>
      <c r="C55" s="241"/>
      <c r="D55" s="174" t="s">
        <v>190</v>
      </c>
      <c r="E55" s="165"/>
      <c r="F55" s="175">
        <f>R13</f>
        <v>11</v>
      </c>
      <c r="G55" s="167"/>
      <c r="H55" s="213"/>
      <c r="I55" s="163"/>
      <c r="J55" s="202">
        <f>F55*H55</f>
        <v>0</v>
      </c>
      <c r="K55" s="217"/>
      <c r="L55" s="200"/>
      <c r="M55" s="200"/>
      <c r="N55" s="200"/>
      <c r="O55" s="200"/>
    </row>
    <row r="56" spans="1:15">
      <c r="A56" s="172"/>
      <c r="B56" s="241"/>
      <c r="C56" s="241"/>
      <c r="D56" s="160"/>
      <c r="E56" s="160"/>
      <c r="F56" s="170"/>
      <c r="G56" s="171"/>
      <c r="H56" s="198"/>
      <c r="I56" s="163"/>
      <c r="J56" s="198"/>
      <c r="K56" s="217"/>
      <c r="L56" s="200"/>
      <c r="M56" s="200"/>
      <c r="N56" s="200"/>
      <c r="O56" s="200"/>
    </row>
    <row r="57" spans="1:15" ht="51">
      <c r="A57" s="172" t="s">
        <v>67</v>
      </c>
      <c r="B57" s="241" t="s">
        <v>412</v>
      </c>
      <c r="C57" s="241"/>
      <c r="D57" s="165"/>
      <c r="E57" s="165"/>
      <c r="F57" s="166"/>
      <c r="G57" s="167"/>
      <c r="H57" s="198"/>
      <c r="I57" s="163"/>
      <c r="J57" s="198"/>
      <c r="K57" s="217"/>
      <c r="L57" s="200"/>
      <c r="M57" s="200"/>
      <c r="N57" s="200"/>
      <c r="O57" s="200"/>
    </row>
    <row r="58" spans="1:15">
      <c r="A58" s="172"/>
      <c r="B58" s="241"/>
      <c r="C58" s="241"/>
      <c r="D58" s="174" t="s">
        <v>190</v>
      </c>
      <c r="E58" s="165"/>
      <c r="F58" s="175">
        <f>R14</f>
        <v>1</v>
      </c>
      <c r="G58" s="167"/>
      <c r="H58" s="213"/>
      <c r="I58" s="163"/>
      <c r="J58" s="202">
        <f>F58*H58</f>
        <v>0</v>
      </c>
      <c r="K58" s="217"/>
      <c r="L58" s="200"/>
      <c r="M58" s="200"/>
      <c r="N58" s="200"/>
      <c r="O58" s="200"/>
    </row>
    <row r="59" spans="1:15">
      <c r="A59" s="172"/>
      <c r="B59" s="241"/>
      <c r="C59" s="241"/>
      <c r="D59" s="160"/>
      <c r="E59" s="160"/>
      <c r="F59" s="170"/>
      <c r="G59" s="171"/>
      <c r="H59" s="198"/>
      <c r="I59" s="163"/>
      <c r="J59" s="198"/>
      <c r="K59" s="217"/>
      <c r="L59" s="200"/>
      <c r="M59" s="200"/>
      <c r="N59" s="200"/>
      <c r="O59" s="200"/>
    </row>
    <row r="60" spans="1:15" ht="38.25">
      <c r="A60" s="172" t="s">
        <v>68</v>
      </c>
      <c r="B60" s="241" t="s">
        <v>413</v>
      </c>
      <c r="C60" s="241"/>
      <c r="D60" s="165"/>
      <c r="E60" s="165"/>
      <c r="F60" s="166"/>
      <c r="G60" s="167"/>
      <c r="H60" s="198"/>
      <c r="I60" s="163"/>
      <c r="J60" s="198"/>
      <c r="K60" s="217"/>
      <c r="L60" s="200"/>
      <c r="M60" s="200"/>
      <c r="N60" s="200"/>
      <c r="O60" s="200"/>
    </row>
    <row r="61" spans="1:15">
      <c r="A61" s="172"/>
      <c r="B61" s="241"/>
      <c r="C61" s="241"/>
      <c r="D61" s="174" t="s">
        <v>190</v>
      </c>
      <c r="E61" s="165"/>
      <c r="F61" s="175">
        <v>1</v>
      </c>
      <c r="G61" s="167"/>
      <c r="H61" s="213"/>
      <c r="I61" s="163"/>
      <c r="J61" s="202">
        <f>F61*H61</f>
        <v>0</v>
      </c>
      <c r="K61" s="242"/>
    </row>
    <row r="62" spans="1:15">
      <c r="A62" s="172"/>
      <c r="B62" s="241"/>
      <c r="C62" s="241"/>
      <c r="D62" s="160"/>
      <c r="E62" s="160"/>
      <c r="F62" s="170"/>
      <c r="G62" s="171"/>
      <c r="H62" s="198"/>
      <c r="I62" s="163"/>
      <c r="J62" s="198"/>
      <c r="K62" s="242"/>
    </row>
    <row r="63" spans="1:15" ht="51">
      <c r="A63" s="172" t="s">
        <v>69</v>
      </c>
      <c r="B63" s="241" t="s">
        <v>441</v>
      </c>
      <c r="C63" s="241"/>
      <c r="D63" s="165"/>
      <c r="E63" s="165"/>
      <c r="F63" s="166"/>
      <c r="G63" s="167"/>
      <c r="H63" s="198"/>
      <c r="I63" s="163"/>
      <c r="J63" s="198"/>
      <c r="K63" s="242"/>
    </row>
    <row r="64" spans="1:15">
      <c r="A64" s="172"/>
      <c r="B64" s="241"/>
      <c r="C64" s="241"/>
      <c r="D64" s="174" t="s">
        <v>190</v>
      </c>
      <c r="E64" s="165"/>
      <c r="F64" s="175">
        <v>1</v>
      </c>
      <c r="G64" s="167"/>
      <c r="H64" s="213"/>
      <c r="I64" s="163"/>
      <c r="J64" s="202">
        <f>F64*H64</f>
        <v>0</v>
      </c>
      <c r="K64" s="242"/>
    </row>
    <row r="65" spans="1:11">
      <c r="A65" s="172"/>
      <c r="B65" s="241"/>
      <c r="C65" s="241"/>
      <c r="D65" s="160"/>
      <c r="E65" s="160"/>
      <c r="F65" s="170"/>
      <c r="G65" s="171"/>
      <c r="H65" s="198"/>
      <c r="I65" s="163"/>
      <c r="J65" s="198"/>
      <c r="K65" s="242"/>
    </row>
    <row r="66" spans="1:11" ht="63.75">
      <c r="A66" s="172" t="s">
        <v>72</v>
      </c>
      <c r="B66" s="241" t="s">
        <v>442</v>
      </c>
      <c r="C66" s="241"/>
      <c r="D66" s="165"/>
      <c r="E66" s="165"/>
      <c r="F66" s="166"/>
      <c r="G66" s="167"/>
      <c r="H66" s="198"/>
      <c r="I66" s="163"/>
      <c r="J66" s="198"/>
      <c r="K66" s="242"/>
    </row>
    <row r="67" spans="1:11">
      <c r="A67" s="172"/>
      <c r="B67" s="241" t="s">
        <v>435</v>
      </c>
      <c r="C67" s="241"/>
      <c r="D67" s="165" t="s">
        <v>60</v>
      </c>
      <c r="E67" s="165"/>
      <c r="F67" s="166">
        <v>15</v>
      </c>
      <c r="G67" s="167"/>
      <c r="H67" s="198"/>
      <c r="I67" s="163"/>
      <c r="J67" s="202">
        <f>F67*H67</f>
        <v>0</v>
      </c>
      <c r="K67" s="242"/>
    </row>
    <row r="68" spans="1:11">
      <c r="A68" s="172"/>
      <c r="B68" s="241" t="s">
        <v>436</v>
      </c>
      <c r="C68" s="241"/>
      <c r="D68" s="174" t="s">
        <v>108</v>
      </c>
      <c r="E68" s="165"/>
      <c r="F68" s="175">
        <f>F67*0.1</f>
        <v>1.5</v>
      </c>
      <c r="G68" s="167"/>
      <c r="H68" s="213"/>
      <c r="I68" s="163"/>
      <c r="J68" s="202">
        <f>F68*H68</f>
        <v>0</v>
      </c>
      <c r="K68" s="242"/>
    </row>
    <row r="69" spans="1:11">
      <c r="A69" s="172"/>
      <c r="B69" s="241"/>
      <c r="C69" s="241"/>
      <c r="D69" s="165"/>
      <c r="E69" s="165"/>
      <c r="F69" s="166"/>
      <c r="G69" s="167"/>
      <c r="H69" s="215"/>
      <c r="I69" s="163"/>
      <c r="J69" s="194"/>
      <c r="K69" s="242"/>
    </row>
    <row r="70" spans="1:11">
      <c r="A70" s="172"/>
      <c r="B70" s="241"/>
      <c r="C70" s="241"/>
      <c r="D70" s="160"/>
      <c r="E70" s="160"/>
      <c r="F70" s="170"/>
      <c r="G70" s="171"/>
      <c r="H70" s="198"/>
      <c r="I70" s="163"/>
      <c r="J70" s="198"/>
      <c r="K70" s="242"/>
    </row>
    <row r="71" spans="1:11" ht="13.5" thickBot="1">
      <c r="A71" s="243"/>
      <c r="B71" s="244" t="s">
        <v>30</v>
      </c>
      <c r="C71" s="244"/>
      <c r="D71" s="186"/>
      <c r="E71" s="186"/>
      <c r="F71" s="234"/>
      <c r="G71" s="235"/>
      <c r="H71" s="189"/>
      <c r="I71" s="236"/>
      <c r="J71" s="189">
        <f>SUM(J48:J68)</f>
        <v>0</v>
      </c>
      <c r="K71" s="242"/>
    </row>
    <row r="72" spans="1:11" ht="13.5" thickTop="1">
      <c r="A72" s="245"/>
      <c r="B72" s="246"/>
      <c r="C72" s="246"/>
      <c r="D72" s="165"/>
      <c r="E72" s="165"/>
      <c r="F72" s="166"/>
      <c r="G72" s="167"/>
      <c r="H72" s="194"/>
      <c r="I72" s="169"/>
      <c r="J72" s="194"/>
      <c r="K72" s="242"/>
    </row>
    <row r="73" spans="1:11" ht="15.75">
      <c r="A73" s="247" t="s">
        <v>67</v>
      </c>
      <c r="B73" s="248" t="s">
        <v>31</v>
      </c>
      <c r="C73" s="248"/>
      <c r="D73" s="192"/>
      <c r="E73" s="192"/>
      <c r="F73" s="166"/>
      <c r="G73" s="167"/>
      <c r="H73" s="150"/>
      <c r="I73" s="163"/>
      <c r="J73" s="198"/>
      <c r="K73" s="242"/>
    </row>
    <row r="74" spans="1:11">
      <c r="A74" s="172"/>
      <c r="B74" s="249"/>
      <c r="C74" s="249"/>
      <c r="D74" s="250"/>
      <c r="E74" s="250"/>
      <c r="F74" s="170"/>
      <c r="G74" s="171"/>
      <c r="H74" s="150"/>
      <c r="I74" s="163"/>
      <c r="J74" s="198"/>
      <c r="K74" s="242"/>
    </row>
    <row r="75" spans="1:11" ht="25.5">
      <c r="A75" s="172" t="s">
        <v>58</v>
      </c>
      <c r="B75" s="173" t="s">
        <v>32</v>
      </c>
      <c r="C75" s="173"/>
      <c r="D75" s="251" t="s">
        <v>60</v>
      </c>
      <c r="E75" s="179"/>
      <c r="F75" s="175">
        <f>F9</f>
        <v>290.35000000000002</v>
      </c>
      <c r="G75" s="167"/>
      <c r="H75" s="213"/>
      <c r="I75" s="163"/>
      <c r="J75" s="202">
        <f>F75*H75</f>
        <v>0</v>
      </c>
      <c r="K75" s="242"/>
    </row>
    <row r="76" spans="1:11">
      <c r="A76" s="172"/>
      <c r="B76" s="173"/>
      <c r="C76" s="173"/>
      <c r="D76" s="179"/>
      <c r="E76" s="179"/>
      <c r="F76" s="170"/>
      <c r="G76" s="171"/>
      <c r="H76" s="150"/>
      <c r="I76" s="163"/>
      <c r="J76" s="198"/>
      <c r="K76" s="242"/>
    </row>
    <row r="77" spans="1:11">
      <c r="A77" s="172" t="s">
        <v>67</v>
      </c>
      <c r="B77" s="173" t="s">
        <v>33</v>
      </c>
      <c r="C77" s="173"/>
      <c r="D77" s="251" t="s">
        <v>60</v>
      </c>
      <c r="E77" s="179"/>
      <c r="F77" s="175">
        <f>F9</f>
        <v>290.35000000000002</v>
      </c>
      <c r="G77" s="167"/>
      <c r="H77" s="213"/>
      <c r="I77" s="163"/>
      <c r="J77" s="202">
        <f>F77*H77</f>
        <v>0</v>
      </c>
      <c r="K77" s="242"/>
    </row>
    <row r="78" spans="1:11">
      <c r="A78" s="172"/>
      <c r="B78" s="173"/>
      <c r="C78" s="173"/>
      <c r="D78" s="179"/>
      <c r="E78" s="179"/>
      <c r="F78" s="170"/>
      <c r="G78" s="171"/>
      <c r="H78" s="150"/>
      <c r="I78" s="163"/>
      <c r="J78" s="198"/>
      <c r="K78" s="242"/>
    </row>
    <row r="79" spans="1:11">
      <c r="A79" s="172" t="s">
        <v>68</v>
      </c>
      <c r="B79" s="173" t="s">
        <v>34</v>
      </c>
      <c r="C79" s="173"/>
      <c r="D79" s="251" t="s">
        <v>190</v>
      </c>
      <c r="E79" s="179"/>
      <c r="F79" s="175">
        <v>12</v>
      </c>
      <c r="G79" s="167"/>
      <c r="H79" s="213"/>
      <c r="I79" s="163"/>
      <c r="J79" s="202">
        <f>F79*H79</f>
        <v>0</v>
      </c>
      <c r="K79" s="242"/>
    </row>
    <row r="80" spans="1:11">
      <c r="A80" s="172"/>
      <c r="B80" s="173"/>
      <c r="C80" s="173"/>
      <c r="D80" s="179"/>
      <c r="E80" s="179"/>
      <c r="F80" s="170"/>
      <c r="G80" s="171"/>
      <c r="H80" s="150"/>
      <c r="I80" s="163"/>
      <c r="J80" s="198"/>
      <c r="K80" s="242"/>
    </row>
    <row r="81" spans="1:11" ht="25.5">
      <c r="A81" s="172" t="s">
        <v>69</v>
      </c>
      <c r="B81" s="173" t="s">
        <v>35</v>
      </c>
      <c r="C81" s="173"/>
      <c r="D81" s="251" t="s">
        <v>60</v>
      </c>
      <c r="E81" s="179"/>
      <c r="F81" s="175">
        <f>F9</f>
        <v>290.35000000000002</v>
      </c>
      <c r="G81" s="167"/>
      <c r="H81" s="213"/>
      <c r="I81" s="163"/>
      <c r="J81" s="202">
        <f>F81*H81</f>
        <v>0</v>
      </c>
      <c r="K81" s="242"/>
    </row>
    <row r="82" spans="1:11">
      <c r="A82" s="172"/>
      <c r="B82" s="173"/>
      <c r="C82" s="173"/>
      <c r="D82" s="179"/>
      <c r="E82" s="179"/>
      <c r="F82" s="170"/>
      <c r="G82" s="171"/>
      <c r="H82" s="150"/>
      <c r="I82" s="163"/>
      <c r="J82" s="198"/>
      <c r="K82" s="242"/>
    </row>
    <row r="83" spans="1:11" ht="13.5" thickBot="1">
      <c r="A83" s="183"/>
      <c r="B83" s="252" t="s">
        <v>36</v>
      </c>
      <c r="C83" s="252"/>
      <c r="D83" s="253"/>
      <c r="E83" s="253"/>
      <c r="F83" s="234"/>
      <c r="G83" s="235"/>
      <c r="H83" s="254"/>
      <c r="I83" s="236"/>
      <c r="J83" s="189">
        <f>SUM(J75:J81)</f>
        <v>0</v>
      </c>
      <c r="K83" s="242"/>
    </row>
    <row r="84" spans="1:11" ht="13.5" thickTop="1">
      <c r="A84" s="190"/>
      <c r="B84" s="255"/>
      <c r="C84" s="255"/>
      <c r="D84" s="256"/>
      <c r="E84" s="256"/>
      <c r="F84" s="166"/>
      <c r="G84" s="167"/>
      <c r="H84" s="168"/>
      <c r="I84" s="169"/>
      <c r="J84" s="194"/>
      <c r="K84" s="242"/>
    </row>
    <row r="85" spans="1:11">
      <c r="A85" s="190"/>
      <c r="B85" s="255"/>
      <c r="C85" s="255"/>
      <c r="D85" s="256"/>
      <c r="E85" s="256"/>
      <c r="F85" s="166"/>
      <c r="G85" s="167"/>
      <c r="H85" s="168"/>
      <c r="I85" s="169"/>
      <c r="J85" s="194"/>
      <c r="K85" s="242"/>
    </row>
    <row r="86" spans="1:11">
      <c r="A86" s="190"/>
      <c r="B86" s="255"/>
      <c r="C86" s="255"/>
      <c r="D86" s="256"/>
      <c r="E86" s="256"/>
      <c r="F86" s="166"/>
      <c r="G86" s="167"/>
      <c r="H86" s="150"/>
      <c r="I86" s="163"/>
      <c r="J86" s="198"/>
      <c r="K86" s="242"/>
    </row>
    <row r="87" spans="1:11">
      <c r="A87" s="190"/>
      <c r="B87" s="255"/>
      <c r="C87" s="255"/>
      <c r="D87" s="256"/>
      <c r="E87" s="256"/>
      <c r="F87" s="166"/>
      <c r="G87" s="167"/>
      <c r="H87" s="150"/>
      <c r="I87" s="163"/>
      <c r="J87" s="198"/>
      <c r="K87" s="242"/>
    </row>
    <row r="88" spans="1:11">
      <c r="A88" s="190"/>
      <c r="B88" s="255"/>
      <c r="C88" s="255"/>
      <c r="D88" s="256"/>
      <c r="E88" s="256"/>
      <c r="F88" s="166"/>
      <c r="G88" s="167"/>
      <c r="H88" s="150"/>
      <c r="I88" s="163"/>
      <c r="J88" s="198"/>
      <c r="K88" s="242"/>
    </row>
    <row r="89" spans="1:11">
      <c r="A89" s="190"/>
      <c r="B89" s="255"/>
      <c r="C89" s="255"/>
      <c r="D89" s="256"/>
      <c r="E89" s="256"/>
      <c r="F89" s="166"/>
      <c r="G89" s="167"/>
      <c r="H89" s="150"/>
      <c r="I89" s="163"/>
      <c r="J89" s="198"/>
      <c r="K89" s="242"/>
    </row>
    <row r="90" spans="1:11">
      <c r="A90" s="190"/>
      <c r="B90" s="255"/>
      <c r="C90" s="255"/>
      <c r="D90" s="256"/>
      <c r="E90" s="256"/>
      <c r="F90" s="166"/>
      <c r="G90" s="167"/>
      <c r="H90" s="150"/>
      <c r="I90" s="163"/>
      <c r="J90" s="198"/>
      <c r="K90" s="242"/>
    </row>
    <row r="91" spans="1:11">
      <c r="A91" s="190"/>
      <c r="B91" s="255"/>
      <c r="C91" s="255"/>
      <c r="D91" s="256"/>
      <c r="E91" s="256"/>
      <c r="F91" s="166"/>
      <c r="G91" s="167"/>
      <c r="H91" s="150"/>
      <c r="I91" s="163"/>
      <c r="J91" s="198"/>
      <c r="K91" s="242"/>
    </row>
    <row r="92" spans="1:11">
      <c r="A92" s="190"/>
      <c r="B92" s="255"/>
      <c r="C92" s="255"/>
      <c r="D92" s="256"/>
      <c r="E92" s="256"/>
      <c r="F92" s="166"/>
      <c r="G92" s="167"/>
      <c r="H92" s="150"/>
      <c r="I92" s="163"/>
      <c r="J92" s="198"/>
      <c r="K92" s="242"/>
    </row>
    <row r="93" spans="1:11">
      <c r="A93" s="172"/>
      <c r="B93" s="258"/>
      <c r="C93" s="258"/>
      <c r="D93" s="257"/>
      <c r="E93" s="257"/>
      <c r="F93" s="170"/>
      <c r="G93" s="171"/>
      <c r="H93" s="150"/>
      <c r="I93" s="163"/>
      <c r="J93" s="198"/>
      <c r="K93" s="242"/>
    </row>
    <row r="94" spans="1:11">
      <c r="B94" s="242"/>
      <c r="C94" s="242"/>
      <c r="D94" s="242"/>
      <c r="E94" s="242"/>
      <c r="F94" s="206"/>
      <c r="G94" s="242"/>
      <c r="H94" s="260"/>
      <c r="I94" s="261"/>
      <c r="J94" s="262"/>
      <c r="K94" s="242"/>
    </row>
    <row r="95" spans="1:11">
      <c r="B95" s="242"/>
      <c r="C95" s="242"/>
      <c r="D95" s="242"/>
      <c r="E95" s="242"/>
      <c r="F95" s="206"/>
      <c r="G95" s="242"/>
      <c r="H95" s="260"/>
      <c r="I95" s="261"/>
      <c r="J95" s="262"/>
      <c r="K95" s="242"/>
    </row>
    <row r="96" spans="1:11">
      <c r="B96" s="242"/>
      <c r="C96" s="242"/>
      <c r="D96" s="242"/>
      <c r="E96" s="242"/>
      <c r="F96" s="206"/>
      <c r="G96" s="242"/>
      <c r="H96" s="260"/>
      <c r="I96" s="261"/>
      <c r="J96" s="262"/>
      <c r="K96" s="242"/>
    </row>
    <row r="97" spans="2:18">
      <c r="B97" s="242"/>
      <c r="C97" s="242"/>
      <c r="D97" s="242"/>
      <c r="E97" s="242"/>
      <c r="F97" s="206"/>
      <c r="G97" s="242"/>
      <c r="H97" s="260"/>
      <c r="I97" s="261"/>
      <c r="J97" s="262"/>
      <c r="K97" s="242"/>
    </row>
    <row r="98" spans="2:18">
      <c r="B98" s="242"/>
      <c r="C98" s="242"/>
      <c r="D98" s="242"/>
      <c r="E98" s="242"/>
      <c r="F98" s="206"/>
      <c r="G98" s="242"/>
      <c r="H98" s="260"/>
      <c r="I98" s="261"/>
      <c r="J98" s="262"/>
      <c r="K98" s="242"/>
      <c r="Q98" s="259"/>
      <c r="R98" s="259"/>
    </row>
    <row r="99" spans="2:18">
      <c r="B99" s="242"/>
      <c r="C99" s="242"/>
      <c r="D99" s="242"/>
      <c r="E99" s="242"/>
      <c r="F99" s="206"/>
      <c r="G99" s="242"/>
      <c r="H99" s="260"/>
      <c r="I99" s="261"/>
      <c r="J99" s="262"/>
      <c r="K99" s="242"/>
      <c r="Q99" s="259"/>
      <c r="R99" s="259"/>
    </row>
    <row r="100" spans="2:18">
      <c r="B100" s="242"/>
      <c r="C100" s="242"/>
      <c r="D100" s="242"/>
      <c r="E100" s="242"/>
      <c r="F100" s="206"/>
      <c r="G100" s="242"/>
      <c r="H100" s="260"/>
      <c r="I100" s="261"/>
      <c r="J100" s="262"/>
      <c r="K100" s="242"/>
      <c r="Q100" s="259"/>
      <c r="R100" s="259"/>
    </row>
    <row r="101" spans="2:18">
      <c r="B101" s="242"/>
      <c r="C101" s="242"/>
      <c r="D101" s="242"/>
      <c r="E101" s="242"/>
      <c r="F101" s="206"/>
      <c r="G101" s="242"/>
      <c r="H101" s="260"/>
      <c r="I101" s="261"/>
      <c r="J101" s="262"/>
      <c r="K101" s="242"/>
      <c r="Q101" s="259"/>
      <c r="R101" s="259"/>
    </row>
    <row r="102" spans="2:18">
      <c r="B102" s="242"/>
      <c r="C102" s="242"/>
      <c r="D102" s="242"/>
      <c r="E102" s="242"/>
      <c r="F102" s="206"/>
      <c r="G102" s="242"/>
      <c r="H102" s="260"/>
      <c r="I102" s="261"/>
      <c r="J102" s="262"/>
      <c r="K102" s="242"/>
      <c r="Q102" s="259"/>
      <c r="R102" s="259"/>
    </row>
    <row r="103" spans="2:18">
      <c r="B103" s="242"/>
      <c r="C103" s="242"/>
      <c r="D103" s="242"/>
      <c r="E103" s="242"/>
      <c r="F103" s="206"/>
      <c r="G103" s="242"/>
      <c r="H103" s="260"/>
      <c r="I103" s="261"/>
      <c r="J103" s="262"/>
      <c r="K103" s="242"/>
      <c r="Q103" s="259"/>
      <c r="R103" s="259"/>
    </row>
    <row r="104" spans="2:18">
      <c r="B104" s="242"/>
      <c r="C104" s="242"/>
      <c r="D104" s="242"/>
      <c r="E104" s="242"/>
      <c r="F104" s="206"/>
      <c r="G104" s="242"/>
      <c r="H104" s="260"/>
      <c r="I104" s="261"/>
      <c r="J104" s="262"/>
      <c r="K104" s="242"/>
      <c r="Q104" s="259"/>
      <c r="R104" s="259"/>
    </row>
    <row r="105" spans="2:18">
      <c r="B105" s="242"/>
      <c r="C105" s="242"/>
      <c r="D105" s="242"/>
      <c r="E105" s="242"/>
      <c r="F105" s="206"/>
      <c r="G105" s="242"/>
      <c r="H105" s="260"/>
      <c r="I105" s="261"/>
      <c r="J105" s="262"/>
      <c r="K105" s="242"/>
      <c r="Q105" s="259"/>
      <c r="R105" s="259"/>
    </row>
    <row r="106" spans="2:18">
      <c r="B106" s="242"/>
      <c r="C106" s="242"/>
      <c r="D106" s="242"/>
      <c r="E106" s="242"/>
      <c r="F106" s="206"/>
      <c r="G106" s="242"/>
      <c r="H106" s="260"/>
      <c r="I106" s="261"/>
      <c r="J106" s="262"/>
      <c r="K106" s="242"/>
      <c r="Q106" s="259"/>
      <c r="R106" s="259"/>
    </row>
    <row r="107" spans="2:18">
      <c r="B107" s="242"/>
      <c r="C107" s="242"/>
      <c r="D107" s="242"/>
      <c r="E107" s="242"/>
      <c r="F107" s="206"/>
      <c r="G107" s="242"/>
      <c r="H107" s="260"/>
      <c r="I107" s="261"/>
      <c r="J107" s="262"/>
      <c r="K107" s="242"/>
      <c r="Q107" s="259"/>
      <c r="R107" s="259"/>
    </row>
    <row r="108" spans="2:18">
      <c r="B108" s="242"/>
      <c r="C108" s="242"/>
      <c r="D108" s="242"/>
      <c r="E108" s="242"/>
      <c r="F108" s="206"/>
      <c r="G108" s="242"/>
      <c r="H108" s="260"/>
      <c r="I108" s="261"/>
      <c r="J108" s="262"/>
      <c r="K108" s="263"/>
      <c r="L108" s="263"/>
      <c r="M108" s="264"/>
      <c r="Q108" s="259"/>
      <c r="R108" s="259"/>
    </row>
    <row r="109" spans="2:18">
      <c r="B109" s="242"/>
      <c r="C109" s="242"/>
      <c r="D109" s="242"/>
      <c r="E109" s="242"/>
      <c r="F109" s="206"/>
      <c r="G109" s="242"/>
      <c r="H109" s="260"/>
      <c r="I109" s="261"/>
      <c r="J109" s="262"/>
      <c r="K109" s="265"/>
      <c r="L109" s="265"/>
      <c r="M109" s="264"/>
    </row>
    <row r="110" spans="2:18">
      <c r="B110" s="242"/>
      <c r="C110" s="242"/>
      <c r="D110" s="242"/>
      <c r="E110" s="242"/>
      <c r="F110" s="206"/>
      <c r="G110" s="242"/>
      <c r="H110" s="260"/>
      <c r="I110" s="261"/>
      <c r="J110" s="262"/>
      <c r="K110" s="261"/>
      <c r="L110" s="261"/>
      <c r="M110" s="264"/>
    </row>
    <row r="111" spans="2:18">
      <c r="B111" s="242"/>
      <c r="C111" s="242"/>
      <c r="D111" s="242"/>
      <c r="E111" s="242"/>
      <c r="F111" s="206"/>
      <c r="G111" s="242"/>
      <c r="H111" s="260"/>
      <c r="I111" s="261"/>
      <c r="J111" s="262"/>
      <c r="K111" s="242"/>
    </row>
    <row r="112" spans="2:18">
      <c r="B112" s="242"/>
      <c r="C112" s="242"/>
      <c r="D112" s="242"/>
      <c r="E112" s="242"/>
      <c r="F112" s="206"/>
      <c r="G112" s="242"/>
      <c r="H112" s="260"/>
      <c r="I112" s="261"/>
      <c r="J112" s="262"/>
      <c r="K112" s="242"/>
    </row>
    <row r="113" spans="2:11">
      <c r="B113" s="242"/>
      <c r="C113" s="242"/>
      <c r="D113" s="242"/>
      <c r="E113" s="242"/>
      <c r="F113" s="206"/>
      <c r="G113" s="242"/>
      <c r="H113" s="260"/>
      <c r="I113" s="261"/>
      <c r="J113" s="262"/>
      <c r="K113" s="242"/>
    </row>
    <row r="114" spans="2:11">
      <c r="B114" s="242"/>
      <c r="C114" s="242"/>
      <c r="D114" s="242"/>
      <c r="E114" s="242"/>
      <c r="F114" s="206"/>
      <c r="G114" s="242"/>
      <c r="H114" s="260"/>
      <c r="I114" s="261"/>
      <c r="J114" s="262"/>
      <c r="K114" s="242"/>
    </row>
    <row r="115" spans="2:11">
      <c r="B115" s="242"/>
      <c r="C115" s="242"/>
      <c r="D115" s="242"/>
      <c r="E115" s="242"/>
      <c r="F115" s="206"/>
      <c r="G115" s="242"/>
      <c r="H115" s="260"/>
      <c r="I115" s="261"/>
      <c r="J115" s="262"/>
      <c r="K115" s="242"/>
    </row>
    <row r="116" spans="2:11">
      <c r="B116" s="242"/>
      <c r="C116" s="242"/>
      <c r="D116" s="242"/>
      <c r="E116" s="242"/>
      <c r="F116" s="206"/>
      <c r="G116" s="242"/>
      <c r="H116" s="260"/>
      <c r="I116" s="261"/>
      <c r="J116" s="262"/>
      <c r="K116" s="242"/>
    </row>
    <row r="117" spans="2:11">
      <c r="B117" s="242"/>
      <c r="C117" s="242"/>
      <c r="D117" s="242"/>
      <c r="E117" s="242"/>
      <c r="F117" s="206"/>
      <c r="G117" s="242"/>
      <c r="H117" s="260"/>
      <c r="I117" s="261"/>
      <c r="J117" s="262"/>
      <c r="K117" s="242"/>
    </row>
    <row r="118" spans="2:11">
      <c r="B118" s="242"/>
      <c r="C118" s="242"/>
      <c r="D118" s="242"/>
      <c r="E118" s="242"/>
      <c r="F118" s="206"/>
      <c r="G118" s="242"/>
      <c r="H118" s="260"/>
      <c r="I118" s="261"/>
      <c r="J118" s="262"/>
      <c r="K118" s="242"/>
    </row>
    <row r="119" spans="2:11">
      <c r="B119" s="242"/>
      <c r="C119" s="242"/>
      <c r="D119" s="242"/>
      <c r="E119" s="242"/>
      <c r="F119" s="206"/>
      <c r="G119" s="242"/>
      <c r="H119" s="260"/>
      <c r="I119" s="261"/>
      <c r="J119" s="262"/>
      <c r="K119" s="242"/>
    </row>
    <row r="120" spans="2:11">
      <c r="B120" s="242"/>
      <c r="C120" s="242"/>
      <c r="D120" s="242"/>
      <c r="E120" s="242"/>
      <c r="F120" s="206"/>
      <c r="G120" s="242"/>
      <c r="H120" s="260"/>
      <c r="I120" s="261"/>
      <c r="J120" s="262"/>
      <c r="K120" s="242"/>
    </row>
    <row r="121" spans="2:11">
      <c r="B121" s="242"/>
      <c r="C121" s="242"/>
      <c r="D121" s="242"/>
      <c r="E121" s="242"/>
      <c r="F121" s="206"/>
      <c r="G121" s="242"/>
      <c r="H121" s="260"/>
      <c r="I121" s="261"/>
      <c r="J121" s="262"/>
      <c r="K121" s="242"/>
    </row>
    <row r="122" spans="2:11">
      <c r="B122" s="242"/>
      <c r="C122" s="242"/>
      <c r="D122" s="242"/>
      <c r="E122" s="242"/>
      <c r="F122" s="206"/>
      <c r="G122" s="242"/>
      <c r="H122" s="260"/>
      <c r="I122" s="261"/>
      <c r="J122" s="262"/>
      <c r="K122" s="242"/>
    </row>
    <row r="123" spans="2:11">
      <c r="B123" s="242"/>
      <c r="C123" s="242"/>
      <c r="D123" s="242"/>
      <c r="E123" s="242"/>
      <c r="F123" s="206"/>
      <c r="G123" s="242"/>
      <c r="H123" s="260"/>
      <c r="I123" s="261"/>
      <c r="J123" s="262"/>
      <c r="K123" s="242"/>
    </row>
    <row r="124" spans="2:11">
      <c r="B124" s="242"/>
      <c r="C124" s="242"/>
      <c r="D124" s="242"/>
      <c r="E124" s="242"/>
      <c r="F124" s="206"/>
      <c r="G124" s="242"/>
      <c r="H124" s="260"/>
      <c r="I124" s="261"/>
      <c r="J124" s="262"/>
      <c r="K124" s="242"/>
    </row>
    <row r="125" spans="2:11">
      <c r="B125" s="242"/>
      <c r="C125" s="242"/>
      <c r="D125" s="242"/>
      <c r="E125" s="242"/>
      <c r="F125" s="206"/>
      <c r="G125" s="242"/>
      <c r="H125" s="260"/>
      <c r="I125" s="261"/>
      <c r="J125" s="262"/>
      <c r="K125" s="242"/>
    </row>
    <row r="126" spans="2:11">
      <c r="B126" s="242"/>
      <c r="C126" s="242"/>
      <c r="D126" s="242"/>
      <c r="E126" s="242"/>
      <c r="F126" s="206"/>
      <c r="G126" s="242"/>
      <c r="H126" s="260"/>
      <c r="I126" s="261"/>
      <c r="J126" s="262"/>
      <c r="K126" s="242"/>
    </row>
    <row r="127" spans="2:11">
      <c r="B127" s="242"/>
      <c r="C127" s="242"/>
      <c r="D127" s="242"/>
      <c r="E127" s="242"/>
      <c r="F127" s="206"/>
      <c r="G127" s="242"/>
      <c r="H127" s="260"/>
      <c r="I127" s="261"/>
      <c r="J127" s="262"/>
      <c r="K127" s="242"/>
    </row>
    <row r="128" spans="2:11">
      <c r="B128" s="242"/>
      <c r="C128" s="242"/>
      <c r="D128" s="242"/>
      <c r="E128" s="242"/>
      <c r="F128" s="206"/>
      <c r="G128" s="242"/>
      <c r="H128" s="260"/>
      <c r="I128" s="261"/>
      <c r="J128" s="262"/>
      <c r="K128" s="242"/>
    </row>
    <row r="129" spans="2:11">
      <c r="B129" s="242"/>
      <c r="C129" s="242"/>
      <c r="D129" s="242"/>
      <c r="E129" s="242"/>
      <c r="F129" s="206"/>
      <c r="G129" s="242"/>
      <c r="H129" s="260"/>
      <c r="I129" s="261"/>
      <c r="J129" s="262"/>
      <c r="K129" s="242"/>
    </row>
    <row r="130" spans="2:11">
      <c r="B130" s="242"/>
      <c r="C130" s="242"/>
      <c r="D130" s="242"/>
      <c r="E130" s="242"/>
      <c r="F130" s="206"/>
      <c r="G130" s="242"/>
      <c r="H130" s="260"/>
      <c r="I130" s="261"/>
      <c r="J130" s="262"/>
      <c r="K130" s="242"/>
    </row>
    <row r="131" spans="2:11">
      <c r="B131" s="242"/>
      <c r="C131" s="242"/>
      <c r="D131" s="242"/>
      <c r="E131" s="242"/>
      <c r="F131" s="206"/>
      <c r="G131" s="242"/>
      <c r="H131" s="260"/>
      <c r="I131" s="261"/>
      <c r="J131" s="262"/>
      <c r="K131" s="242"/>
    </row>
    <row r="132" spans="2:11">
      <c r="B132" s="242"/>
      <c r="C132" s="242"/>
      <c r="D132" s="242"/>
      <c r="E132" s="242"/>
      <c r="F132" s="206"/>
      <c r="G132" s="242"/>
      <c r="H132" s="260"/>
      <c r="I132" s="261"/>
      <c r="J132" s="262"/>
      <c r="K132" s="242"/>
    </row>
    <row r="133" spans="2:11">
      <c r="D133" s="242"/>
      <c r="E133" s="242"/>
      <c r="F133" s="206"/>
      <c r="G133" s="242"/>
      <c r="H133" s="260"/>
      <c r="I133" s="261"/>
      <c r="J133" s="262"/>
      <c r="K133" s="242"/>
    </row>
    <row r="134" spans="2:11">
      <c r="D134" s="242"/>
      <c r="E134" s="242"/>
      <c r="F134" s="206"/>
      <c r="G134" s="242"/>
      <c r="H134" s="260"/>
      <c r="I134" s="261"/>
      <c r="J134" s="262"/>
      <c r="K134" s="242"/>
    </row>
    <row r="135" spans="2:11">
      <c r="D135" s="242"/>
      <c r="E135" s="242"/>
      <c r="F135" s="206"/>
      <c r="G135" s="242"/>
      <c r="H135" s="260"/>
      <c r="I135" s="261"/>
      <c r="J135" s="262"/>
      <c r="K135" s="242"/>
    </row>
    <row r="136" spans="2:11">
      <c r="D136" s="242"/>
      <c r="E136" s="242"/>
      <c r="F136" s="206"/>
      <c r="G136" s="242"/>
      <c r="H136" s="260"/>
      <c r="I136" s="261"/>
      <c r="J136" s="262"/>
      <c r="K136" s="242"/>
    </row>
    <row r="137" spans="2:11">
      <c r="D137" s="242"/>
      <c r="E137" s="242"/>
      <c r="F137" s="206"/>
      <c r="G137" s="242"/>
      <c r="H137" s="260"/>
      <c r="I137" s="261"/>
      <c r="J137" s="262"/>
      <c r="K137" s="242"/>
    </row>
    <row r="138" spans="2:11">
      <c r="D138" s="242"/>
      <c r="E138" s="242"/>
      <c r="F138" s="206"/>
      <c r="G138" s="242"/>
      <c r="H138" s="260"/>
      <c r="I138" s="261"/>
      <c r="J138" s="262"/>
      <c r="K138" s="242"/>
    </row>
    <row r="139" spans="2:11">
      <c r="D139" s="242"/>
      <c r="E139" s="242"/>
      <c r="F139" s="206"/>
      <c r="G139" s="242"/>
      <c r="H139" s="260"/>
      <c r="I139" s="261"/>
      <c r="J139" s="262"/>
      <c r="K139" s="242"/>
    </row>
    <row r="140" spans="2:11">
      <c r="D140" s="242"/>
      <c r="E140" s="242"/>
      <c r="F140" s="206"/>
      <c r="G140" s="242"/>
      <c r="H140" s="260"/>
      <c r="I140" s="261"/>
      <c r="J140" s="262"/>
      <c r="K140" s="242"/>
    </row>
    <row r="141" spans="2:11">
      <c r="D141" s="242"/>
      <c r="E141" s="242"/>
      <c r="F141" s="206"/>
      <c r="G141" s="242"/>
      <c r="H141" s="260"/>
      <c r="I141" s="261"/>
      <c r="J141" s="262"/>
      <c r="K141" s="242"/>
    </row>
    <row r="142" spans="2:11">
      <c r="D142" s="242"/>
      <c r="E142" s="242"/>
      <c r="F142" s="206"/>
      <c r="G142" s="242"/>
      <c r="H142" s="260"/>
      <c r="I142" s="261"/>
      <c r="J142" s="262"/>
      <c r="K142" s="242"/>
    </row>
    <row r="143" spans="2:11">
      <c r="D143" s="242"/>
      <c r="E143" s="242"/>
      <c r="F143" s="206"/>
      <c r="G143" s="242"/>
      <c r="H143" s="260"/>
      <c r="I143" s="261"/>
      <c r="J143" s="262"/>
      <c r="K143" s="242"/>
    </row>
    <row r="144" spans="2:11">
      <c r="D144" s="242"/>
      <c r="E144" s="242"/>
      <c r="F144" s="206"/>
      <c r="G144" s="242"/>
      <c r="H144" s="260"/>
      <c r="I144" s="261"/>
      <c r="J144" s="262"/>
      <c r="K144" s="242"/>
    </row>
    <row r="145" spans="4:11">
      <c r="D145" s="242"/>
      <c r="E145" s="242"/>
      <c r="F145" s="206"/>
      <c r="G145" s="242"/>
      <c r="H145" s="260"/>
      <c r="I145" s="261"/>
      <c r="J145" s="262"/>
      <c r="K145" s="242"/>
    </row>
    <row r="146" spans="4:11">
      <c r="D146" s="242"/>
      <c r="E146" s="242"/>
      <c r="F146" s="206"/>
      <c r="G146" s="242"/>
      <c r="H146" s="260"/>
      <c r="I146" s="261"/>
      <c r="J146" s="262"/>
      <c r="K146" s="242"/>
    </row>
    <row r="147" spans="4:11">
      <c r="D147" s="242"/>
      <c r="E147" s="242"/>
      <c r="F147" s="206"/>
      <c r="G147" s="242"/>
      <c r="H147" s="260"/>
      <c r="I147" s="261"/>
      <c r="J147" s="262"/>
      <c r="K147" s="242"/>
    </row>
    <row r="148" spans="4:11">
      <c r="D148" s="242"/>
      <c r="E148" s="242"/>
      <c r="F148" s="206"/>
      <c r="G148" s="242"/>
      <c r="H148" s="260"/>
      <c r="I148" s="261"/>
      <c r="J148" s="262"/>
      <c r="K148" s="242"/>
    </row>
    <row r="149" spans="4:11">
      <c r="D149" s="242"/>
      <c r="E149" s="242"/>
      <c r="F149" s="206"/>
      <c r="G149" s="242"/>
      <c r="H149" s="260"/>
      <c r="I149" s="261"/>
      <c r="J149" s="262"/>
      <c r="K149" s="242"/>
    </row>
    <row r="150" spans="4:11">
      <c r="D150" s="242"/>
      <c r="E150" s="242"/>
      <c r="F150" s="206"/>
      <c r="G150" s="242"/>
      <c r="H150" s="260"/>
      <c r="I150" s="261"/>
      <c r="J150" s="262"/>
    </row>
    <row r="151" spans="4:11">
      <c r="D151" s="242"/>
      <c r="E151" s="242"/>
      <c r="F151" s="206"/>
      <c r="G151" s="242"/>
      <c r="H151" s="260"/>
      <c r="I151" s="261"/>
      <c r="J151" s="262"/>
    </row>
    <row r="152" spans="4:11">
      <c r="D152" s="242"/>
      <c r="E152" s="242"/>
      <c r="F152" s="206"/>
      <c r="G152" s="242"/>
      <c r="H152" s="260"/>
      <c r="I152" s="261"/>
      <c r="J152" s="262"/>
    </row>
    <row r="153" spans="4:11">
      <c r="D153" s="242"/>
      <c r="E153" s="242"/>
      <c r="F153" s="206"/>
      <c r="G153" s="242"/>
      <c r="H153" s="260"/>
      <c r="I153" s="261"/>
      <c r="J153" s="262"/>
    </row>
    <row r="154" spans="4:11">
      <c r="D154" s="242"/>
      <c r="E154" s="242"/>
      <c r="F154" s="206"/>
      <c r="G154" s="242"/>
      <c r="H154" s="260"/>
      <c r="I154" s="261"/>
      <c r="J154" s="262"/>
    </row>
    <row r="155" spans="4:11">
      <c r="D155" s="242"/>
      <c r="E155" s="242"/>
      <c r="F155" s="206"/>
      <c r="G155" s="242"/>
      <c r="H155" s="260"/>
      <c r="I155" s="261"/>
      <c r="J155" s="262"/>
    </row>
    <row r="156" spans="4:11">
      <c r="D156" s="242"/>
      <c r="E156" s="242"/>
      <c r="F156" s="206"/>
      <c r="G156" s="242"/>
      <c r="H156" s="260"/>
      <c r="I156" s="261"/>
      <c r="J156" s="262"/>
    </row>
    <row r="157" spans="4:11">
      <c r="D157" s="242"/>
      <c r="E157" s="242"/>
      <c r="F157" s="206"/>
      <c r="G157" s="242"/>
      <c r="H157" s="260"/>
      <c r="I157" s="266"/>
      <c r="J157" s="262"/>
    </row>
    <row r="158" spans="4:11">
      <c r="D158" s="242"/>
      <c r="E158" s="242"/>
      <c r="F158" s="206"/>
      <c r="G158" s="242"/>
      <c r="H158" s="260"/>
      <c r="I158" s="266"/>
      <c r="J158" s="262"/>
    </row>
    <row r="159" spans="4:11">
      <c r="D159" s="242"/>
      <c r="E159" s="242"/>
      <c r="F159" s="206"/>
      <c r="G159" s="242"/>
      <c r="H159" s="260"/>
      <c r="I159" s="266"/>
      <c r="J159" s="262"/>
    </row>
    <row r="160" spans="4:11">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62"/>
    </row>
    <row r="184" spans="4:10">
      <c r="D184" s="242"/>
      <c r="E184" s="242"/>
      <c r="F184" s="206"/>
      <c r="G184" s="242"/>
      <c r="H184" s="260"/>
      <c r="I184" s="266"/>
      <c r="J184" s="262"/>
    </row>
    <row r="185" spans="4:10">
      <c r="D185" s="242"/>
      <c r="E185" s="242"/>
      <c r="F185" s="206"/>
      <c r="G185" s="242"/>
      <c r="H185" s="260"/>
      <c r="I185" s="266"/>
      <c r="J185" s="262"/>
    </row>
    <row r="186" spans="4:10">
      <c r="D186" s="242"/>
      <c r="E186" s="242"/>
      <c r="F186" s="206"/>
      <c r="G186" s="242"/>
      <c r="H186" s="260"/>
      <c r="I186" s="266"/>
      <c r="J186" s="262"/>
    </row>
    <row r="187" spans="4:10">
      <c r="D187" s="242"/>
      <c r="E187" s="242"/>
      <c r="F187" s="206"/>
      <c r="G187" s="242"/>
      <c r="H187" s="260"/>
      <c r="I187" s="266"/>
      <c r="J187" s="262"/>
    </row>
    <row r="188" spans="4:10">
      <c r="D188" s="242"/>
      <c r="E188" s="242"/>
      <c r="F188" s="206"/>
      <c r="G188" s="242"/>
      <c r="H188" s="260"/>
      <c r="I188" s="266"/>
      <c r="J188" s="262"/>
    </row>
    <row r="189" spans="4:10">
      <c r="D189" s="242"/>
      <c r="E189" s="242"/>
      <c r="F189" s="206"/>
      <c r="G189" s="242"/>
      <c r="H189" s="260"/>
      <c r="I189" s="266"/>
      <c r="J189" s="262"/>
    </row>
    <row r="190" spans="4:10">
      <c r="D190" s="242"/>
      <c r="E190" s="242"/>
      <c r="F190" s="206"/>
      <c r="G190" s="242"/>
      <c r="H190" s="260"/>
      <c r="I190" s="266"/>
      <c r="J190" s="262"/>
    </row>
    <row r="191" spans="4:10">
      <c r="D191" s="242"/>
      <c r="E191" s="242"/>
      <c r="F191" s="206"/>
      <c r="G191" s="242"/>
      <c r="H191" s="260"/>
      <c r="I191" s="266"/>
      <c r="J191" s="262"/>
    </row>
    <row r="192" spans="4:10">
      <c r="D192" s="242"/>
      <c r="E192" s="242"/>
      <c r="F192" s="206"/>
      <c r="G192" s="242"/>
      <c r="H192" s="260"/>
      <c r="I192" s="266"/>
      <c r="J192" s="262"/>
    </row>
    <row r="193" spans="4:10">
      <c r="D193" s="242"/>
      <c r="E193" s="242"/>
      <c r="F193" s="206"/>
      <c r="G193" s="242"/>
      <c r="H193" s="260"/>
      <c r="I193" s="266"/>
      <c r="J193" s="262"/>
    </row>
    <row r="194" spans="4:10">
      <c r="D194" s="242"/>
      <c r="E194" s="242"/>
      <c r="F194" s="206"/>
      <c r="G194" s="242"/>
      <c r="H194" s="260"/>
      <c r="I194" s="266"/>
      <c r="J194" s="262"/>
    </row>
    <row r="195" spans="4:10">
      <c r="D195" s="242"/>
      <c r="E195" s="242"/>
      <c r="F195" s="206"/>
      <c r="G195" s="242"/>
      <c r="H195" s="260"/>
      <c r="I195" s="266"/>
      <c r="J195" s="262"/>
    </row>
    <row r="196" spans="4:10">
      <c r="D196" s="242"/>
      <c r="E196" s="242"/>
      <c r="F196" s="206"/>
      <c r="G196" s="242"/>
      <c r="H196" s="260"/>
      <c r="I196" s="266"/>
      <c r="J196" s="262"/>
    </row>
    <row r="197" spans="4:10">
      <c r="D197" s="242"/>
      <c r="E197" s="242"/>
      <c r="F197" s="206"/>
      <c r="G197" s="242"/>
      <c r="H197" s="260"/>
      <c r="I197" s="266"/>
      <c r="J197" s="262"/>
    </row>
    <row r="198" spans="4:10">
      <c r="D198" s="242"/>
      <c r="E198" s="242"/>
      <c r="F198" s="206"/>
      <c r="G198" s="242"/>
      <c r="H198" s="260"/>
      <c r="I198" s="266"/>
      <c r="J198" s="262"/>
    </row>
    <row r="199" spans="4:10">
      <c r="D199" s="242"/>
      <c r="E199" s="242"/>
      <c r="F199" s="206"/>
      <c r="G199" s="242"/>
      <c r="H199" s="260"/>
      <c r="I199" s="266"/>
      <c r="J199" s="262"/>
    </row>
    <row r="200" spans="4:10">
      <c r="D200" s="242"/>
      <c r="E200" s="242"/>
      <c r="F200" s="206"/>
      <c r="G200" s="242"/>
      <c r="H200" s="260"/>
      <c r="I200" s="266"/>
      <c r="J200" s="262"/>
    </row>
    <row r="201" spans="4:10">
      <c r="D201" s="242"/>
      <c r="E201" s="242"/>
      <c r="F201" s="206"/>
      <c r="G201" s="242"/>
      <c r="H201" s="260"/>
      <c r="I201" s="266"/>
      <c r="J201" s="262"/>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60"/>
      <c r="I253" s="266"/>
      <c r="J253" s="206"/>
    </row>
    <row r="254" spans="4:10">
      <c r="D254" s="242"/>
      <c r="E254" s="242"/>
      <c r="F254" s="206"/>
      <c r="G254" s="242"/>
      <c r="H254" s="260"/>
      <c r="I254" s="266"/>
      <c r="J254" s="206"/>
    </row>
    <row r="255" spans="4:10">
      <c r="D255" s="242"/>
      <c r="E255" s="242"/>
      <c r="F255" s="206"/>
      <c r="G255" s="242"/>
      <c r="H255" s="260"/>
      <c r="I255" s="266"/>
      <c r="J255" s="206"/>
    </row>
    <row r="256" spans="4:10">
      <c r="D256" s="242"/>
      <c r="E256" s="242"/>
      <c r="F256" s="206"/>
      <c r="G256" s="242"/>
      <c r="H256" s="260"/>
      <c r="I256" s="266"/>
      <c r="J256" s="206"/>
    </row>
    <row r="257" spans="4:10">
      <c r="D257" s="242"/>
      <c r="E257" s="242"/>
      <c r="F257" s="206"/>
      <c r="G257" s="242"/>
      <c r="H257" s="260"/>
      <c r="I257" s="266"/>
      <c r="J257" s="206"/>
    </row>
    <row r="258" spans="4:10">
      <c r="D258" s="242"/>
      <c r="E258" s="242"/>
      <c r="F258" s="206"/>
      <c r="G258" s="242"/>
      <c r="H258" s="260"/>
      <c r="I258" s="266"/>
      <c r="J258" s="206"/>
    </row>
    <row r="259" spans="4:10">
      <c r="D259" s="242"/>
      <c r="E259" s="242"/>
      <c r="F259" s="206"/>
      <c r="G259" s="242"/>
      <c r="H259" s="260"/>
      <c r="I259" s="266"/>
      <c r="J259" s="206"/>
    </row>
    <row r="260" spans="4:10">
      <c r="D260" s="242"/>
      <c r="E260" s="242"/>
      <c r="F260" s="206"/>
      <c r="G260" s="242"/>
      <c r="H260" s="260"/>
      <c r="I260" s="266"/>
      <c r="J260" s="206"/>
    </row>
    <row r="261" spans="4:10">
      <c r="D261" s="242"/>
      <c r="E261" s="242"/>
      <c r="F261" s="206"/>
      <c r="G261" s="242"/>
      <c r="H261" s="260"/>
      <c r="I261" s="266"/>
      <c r="J261" s="206"/>
    </row>
    <row r="262" spans="4:10">
      <c r="D262" s="242"/>
      <c r="E262" s="242"/>
      <c r="F262" s="206"/>
      <c r="G262" s="242"/>
      <c r="H262" s="260"/>
      <c r="I262" s="266"/>
      <c r="J262" s="206"/>
    </row>
    <row r="263" spans="4:10">
      <c r="D263" s="242"/>
      <c r="E263" s="242"/>
      <c r="F263" s="206"/>
      <c r="G263" s="242"/>
      <c r="H263" s="260"/>
      <c r="I263" s="266"/>
      <c r="J263" s="206"/>
    </row>
    <row r="264" spans="4:10">
      <c r="D264" s="242"/>
      <c r="E264" s="242"/>
      <c r="F264" s="206"/>
      <c r="G264" s="242"/>
      <c r="H264" s="260"/>
      <c r="I264" s="266"/>
      <c r="J264" s="206"/>
    </row>
    <row r="265" spans="4:10">
      <c r="D265" s="242"/>
      <c r="E265" s="242"/>
      <c r="F265" s="206"/>
      <c r="G265" s="242"/>
      <c r="H265" s="260"/>
      <c r="I265" s="266"/>
      <c r="J265" s="206"/>
    </row>
    <row r="266" spans="4:10">
      <c r="D266" s="242"/>
      <c r="E266" s="242"/>
      <c r="F266" s="206"/>
      <c r="G266" s="242"/>
      <c r="H266" s="260"/>
      <c r="I266" s="266"/>
      <c r="J266" s="206"/>
    </row>
    <row r="267" spans="4:10">
      <c r="D267" s="242"/>
      <c r="E267" s="242"/>
      <c r="F267" s="206"/>
      <c r="G267" s="242"/>
      <c r="H267" s="260"/>
      <c r="I267" s="266"/>
      <c r="J267" s="206"/>
    </row>
    <row r="268" spans="4:10">
      <c r="D268" s="242"/>
      <c r="E268" s="242"/>
      <c r="F268" s="206"/>
      <c r="G268" s="242"/>
      <c r="H268" s="260"/>
      <c r="I268" s="266"/>
      <c r="J268" s="206"/>
    </row>
    <row r="269" spans="4:10">
      <c r="D269" s="242"/>
      <c r="E269" s="242"/>
      <c r="F269" s="206"/>
      <c r="G269" s="242"/>
      <c r="H269" s="260"/>
      <c r="I269" s="266"/>
      <c r="J269" s="206"/>
    </row>
    <row r="270" spans="4:10">
      <c r="D270" s="242"/>
      <c r="E270" s="242"/>
      <c r="F270" s="206"/>
      <c r="G270" s="242"/>
      <c r="H270" s="260"/>
      <c r="I270" s="266"/>
      <c r="J270" s="206"/>
    </row>
    <row r="271" spans="4:10">
      <c r="D271" s="242"/>
      <c r="E271" s="242"/>
      <c r="F271" s="206"/>
      <c r="G271" s="242"/>
      <c r="H271" s="260"/>
      <c r="I271" s="266"/>
      <c r="J271" s="206"/>
    </row>
    <row r="272" spans="4:10">
      <c r="D272" s="242"/>
      <c r="E272" s="242"/>
      <c r="F272" s="206"/>
      <c r="G272" s="242"/>
      <c r="H272" s="206"/>
      <c r="I272" s="266"/>
      <c r="J272" s="206"/>
    </row>
    <row r="273" spans="4:10">
      <c r="D273" s="242"/>
      <c r="E273" s="242"/>
      <c r="F273" s="206"/>
      <c r="G273" s="242"/>
      <c r="H273" s="206"/>
      <c r="I273" s="266"/>
      <c r="J273" s="206"/>
    </row>
    <row r="274" spans="4:10">
      <c r="D274" s="242"/>
      <c r="E274" s="242"/>
      <c r="F274" s="206"/>
      <c r="G274" s="242"/>
      <c r="H274" s="206"/>
      <c r="I274" s="266"/>
      <c r="J274" s="206"/>
    </row>
    <row r="275" spans="4:10">
      <c r="D275" s="242"/>
      <c r="E275" s="242"/>
      <c r="F275" s="206"/>
      <c r="G275" s="242"/>
      <c r="H275" s="206"/>
      <c r="I275" s="266"/>
      <c r="J275" s="206"/>
    </row>
    <row r="276" spans="4:10">
      <c r="D276" s="242"/>
      <c r="E276" s="242"/>
      <c r="F276" s="206"/>
      <c r="G276" s="242"/>
      <c r="H276" s="206"/>
      <c r="I276" s="266"/>
      <c r="J276" s="206"/>
    </row>
    <row r="277" spans="4:10">
      <c r="D277" s="242"/>
      <c r="E277" s="242"/>
      <c r="F277" s="206"/>
      <c r="G277" s="242"/>
      <c r="H277" s="206"/>
      <c r="I277" s="266"/>
      <c r="J277" s="206"/>
    </row>
    <row r="278" spans="4:10">
      <c r="D278" s="242"/>
      <c r="E278" s="242"/>
      <c r="F278" s="206"/>
      <c r="G278" s="242"/>
      <c r="H278" s="206"/>
      <c r="I278" s="266"/>
      <c r="J278" s="206"/>
    </row>
    <row r="279" spans="4:10">
      <c r="D279" s="242"/>
      <c r="E279" s="242"/>
      <c r="F279" s="206"/>
      <c r="G279" s="242"/>
      <c r="H279" s="206"/>
      <c r="I279" s="266"/>
      <c r="J279" s="206"/>
    </row>
    <row r="280" spans="4:10">
      <c r="D280" s="242"/>
      <c r="E280" s="242"/>
      <c r="F280" s="206"/>
      <c r="G280" s="242"/>
      <c r="H280" s="206"/>
      <c r="I280" s="266"/>
      <c r="J280" s="206"/>
    </row>
    <row r="281" spans="4:10">
      <c r="D281" s="242"/>
      <c r="E281" s="242"/>
      <c r="F281" s="206"/>
      <c r="G281" s="242"/>
      <c r="H281" s="206"/>
      <c r="I281" s="266"/>
      <c r="J281" s="206"/>
    </row>
    <row r="282" spans="4:10">
      <c r="D282" s="242"/>
      <c r="E282" s="242"/>
      <c r="F282" s="206"/>
      <c r="G282" s="242"/>
      <c r="H282" s="206"/>
      <c r="I282" s="266"/>
      <c r="J282" s="206"/>
    </row>
    <row r="283" spans="4:10">
      <c r="D283" s="242"/>
      <c r="E283" s="242"/>
      <c r="F283" s="206"/>
      <c r="G283" s="242"/>
      <c r="H283" s="206"/>
      <c r="I283" s="266"/>
      <c r="J283" s="206"/>
    </row>
    <row r="284" spans="4:10">
      <c r="D284" s="242"/>
      <c r="E284" s="242"/>
      <c r="F284" s="206"/>
      <c r="G284" s="242"/>
      <c r="H284" s="206"/>
      <c r="I284" s="266"/>
      <c r="J284" s="206"/>
    </row>
    <row r="285" spans="4:10">
      <c r="D285" s="242"/>
      <c r="E285" s="242"/>
      <c r="F285" s="206"/>
      <c r="G285" s="242"/>
      <c r="H285" s="206"/>
      <c r="I285" s="266"/>
      <c r="J285" s="206"/>
    </row>
    <row r="286" spans="4:10">
      <c r="D286" s="242"/>
      <c r="E286" s="242"/>
      <c r="F286" s="206"/>
      <c r="G286" s="242"/>
      <c r="H286" s="206"/>
      <c r="I286" s="266"/>
      <c r="J286" s="206"/>
    </row>
    <row r="287" spans="4:10">
      <c r="D287" s="242"/>
      <c r="E287" s="242"/>
      <c r="F287" s="206"/>
      <c r="G287" s="242"/>
      <c r="H287" s="206"/>
      <c r="I287" s="266"/>
      <c r="J287" s="206"/>
    </row>
    <row r="288" spans="4:10">
      <c r="D288" s="242"/>
      <c r="E288" s="242"/>
      <c r="F288" s="206"/>
      <c r="G288" s="242"/>
      <c r="H288" s="206"/>
      <c r="I288" s="266"/>
      <c r="J288" s="206"/>
    </row>
    <row r="289" spans="4:10">
      <c r="D289" s="242"/>
      <c r="E289" s="242"/>
      <c r="F289" s="206"/>
      <c r="G289" s="242"/>
      <c r="H289" s="206"/>
      <c r="I289" s="266"/>
      <c r="J289" s="206"/>
    </row>
    <row r="290" spans="4:10">
      <c r="D290" s="242"/>
      <c r="E290" s="242"/>
      <c r="F290" s="206"/>
      <c r="G290" s="242"/>
      <c r="H290" s="206"/>
      <c r="I290" s="266"/>
      <c r="J290" s="206"/>
    </row>
    <row r="291" spans="4:10">
      <c r="D291" s="242"/>
      <c r="E291" s="242"/>
      <c r="F291" s="206"/>
      <c r="G291" s="242"/>
      <c r="H291" s="206"/>
      <c r="I291" s="266"/>
      <c r="J291" s="206"/>
    </row>
    <row r="292" spans="4:10">
      <c r="D292" s="242"/>
      <c r="E292" s="242"/>
      <c r="F292" s="206"/>
      <c r="G292" s="242"/>
      <c r="H292" s="206"/>
      <c r="I292" s="266"/>
      <c r="J292" s="206"/>
    </row>
    <row r="293" spans="4:10">
      <c r="D293" s="242"/>
      <c r="E293" s="242"/>
      <c r="F293" s="206"/>
      <c r="G293" s="242"/>
      <c r="H293" s="206"/>
      <c r="I293" s="266"/>
      <c r="J293" s="206"/>
    </row>
    <row r="294" spans="4:10">
      <c r="D294" s="242"/>
      <c r="E294" s="242"/>
      <c r="F294" s="206"/>
      <c r="G294" s="242"/>
      <c r="H294" s="206"/>
      <c r="I294" s="266"/>
      <c r="J294" s="206"/>
    </row>
    <row r="295" spans="4:10">
      <c r="D295" s="242"/>
      <c r="E295" s="242"/>
      <c r="F295" s="206"/>
      <c r="G295" s="242"/>
      <c r="H295" s="206"/>
      <c r="I295" s="266"/>
      <c r="J295" s="206"/>
    </row>
    <row r="296" spans="4:10">
      <c r="I296" s="267"/>
    </row>
    <row r="297" spans="4:10">
      <c r="I297" s="267"/>
    </row>
    <row r="298" spans="4:10">
      <c r="I298" s="267"/>
    </row>
    <row r="299" spans="4:10">
      <c r="I299" s="267"/>
    </row>
    <row r="300" spans="4:10">
      <c r="I300" s="267"/>
    </row>
    <row r="301" spans="4:10">
      <c r="I301" s="267"/>
    </row>
    <row r="302" spans="4:10">
      <c r="I302" s="267"/>
    </row>
    <row r="303" spans="4:10">
      <c r="I303" s="267"/>
    </row>
    <row r="310" spans="1:28" s="104" customFormat="1">
      <c r="A310"/>
      <c r="B310"/>
      <c r="C310"/>
      <c r="D310"/>
      <c r="E310"/>
      <c r="F310" s="105"/>
      <c r="G310"/>
      <c r="I310" s="108"/>
      <c r="K310"/>
      <c r="L310"/>
      <c r="M310"/>
      <c r="N310"/>
      <c r="O310"/>
      <c r="P310"/>
      <c r="Q310"/>
      <c r="R310"/>
      <c r="S310"/>
      <c r="T310"/>
      <c r="U310"/>
      <c r="V310"/>
      <c r="W310"/>
      <c r="X310"/>
      <c r="Y310"/>
      <c r="Z310"/>
      <c r="AA310"/>
      <c r="AB310"/>
    </row>
  </sheetData>
  <pageMargins left="0.70866141732283472" right="0.70866141732283472" top="0.74803149606299213" bottom="0.74803149606299213" header="0.31496062992125984" footer="0.31496062992125984"/>
  <pageSetup paperSize="9" scale="82" orientation="portrait" r:id="rId1"/>
  <headerFooter>
    <oddHeader>&amp;CProjekt Dolenje in Gorenje Ponikve:
Kanalizacija, rekonstrukcija vodovoda in pločnik med naseljema</oddHeader>
    <oddFooter>&amp;R&amp;P/&amp;N</oddFooter>
  </headerFooter>
  <rowBreaks count="1" manualBreakCount="1">
    <brk id="38" max="9"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B322"/>
  <sheetViews>
    <sheetView view="pageBreakPreview" topLeftCell="A76" zoomScale="130" zoomScaleSheetLayoutView="130" workbookViewId="0">
      <selection activeCell="H94" sqref="H94"/>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 min="15" max="15" width="39" customWidth="1"/>
  </cols>
  <sheetData>
    <row r="1" spans="1:28" ht="25.5">
      <c r="A1" s="132" t="s">
        <v>51</v>
      </c>
      <c r="B1" s="132" t="s">
        <v>52</v>
      </c>
      <c r="C1" s="132"/>
      <c r="D1" s="133" t="s">
        <v>53</v>
      </c>
      <c r="E1" s="133"/>
      <c r="F1" s="134" t="s">
        <v>54</v>
      </c>
      <c r="G1" s="134"/>
      <c r="H1" s="135" t="s">
        <v>55</v>
      </c>
      <c r="I1" s="135"/>
      <c r="J1" s="133" t="s">
        <v>56</v>
      </c>
      <c r="K1" s="136"/>
      <c r="L1" t="s">
        <v>221</v>
      </c>
      <c r="M1" t="s">
        <v>222</v>
      </c>
      <c r="N1" t="s">
        <v>223</v>
      </c>
      <c r="O1" t="s">
        <v>224</v>
      </c>
      <c r="P1" t="s">
        <v>225</v>
      </c>
      <c r="Q1" t="s">
        <v>226</v>
      </c>
      <c r="R1" t="s">
        <v>227</v>
      </c>
      <c r="S1" t="s">
        <v>228</v>
      </c>
      <c r="T1" t="s">
        <v>229</v>
      </c>
      <c r="U1" t="s">
        <v>230</v>
      </c>
      <c r="V1" t="s">
        <v>231</v>
      </c>
      <c r="W1" t="s">
        <v>232</v>
      </c>
      <c r="X1" t="s">
        <v>233</v>
      </c>
      <c r="Y1" t="s">
        <v>234</v>
      </c>
      <c r="Z1" t="s">
        <v>235</v>
      </c>
      <c r="AA1" t="s">
        <v>236</v>
      </c>
      <c r="AB1" t="s">
        <v>237</v>
      </c>
    </row>
    <row r="2" spans="1:28" ht="14.25">
      <c r="A2" s="137"/>
      <c r="B2" s="138"/>
      <c r="C2" s="138"/>
      <c r="D2" s="139"/>
      <c r="E2" s="139"/>
      <c r="F2" s="140"/>
      <c r="G2" s="141"/>
      <c r="H2" s="142"/>
      <c r="I2" s="143"/>
      <c r="J2" s="139"/>
      <c r="K2" s="136"/>
      <c r="L2" s="136" t="s">
        <v>417</v>
      </c>
      <c r="N2">
        <v>0</v>
      </c>
      <c r="O2">
        <v>52.84</v>
      </c>
      <c r="P2">
        <v>0</v>
      </c>
      <c r="Q2">
        <v>1151.7</v>
      </c>
      <c r="R2">
        <v>1136.8499999999999</v>
      </c>
      <c r="S2">
        <v>14.85</v>
      </c>
      <c r="T2">
        <v>0</v>
      </c>
      <c r="U2">
        <v>0</v>
      </c>
      <c r="V2">
        <v>0</v>
      </c>
      <c r="W2">
        <v>1092.8599999999999</v>
      </c>
      <c r="X2">
        <v>593.33000000000004</v>
      </c>
      <c r="Y2">
        <v>199.88</v>
      </c>
      <c r="Z2">
        <v>251.98</v>
      </c>
      <c r="AA2">
        <v>47.68</v>
      </c>
      <c r="AB2">
        <v>592.80999999999995</v>
      </c>
    </row>
    <row r="3" spans="1:28" ht="15.75">
      <c r="A3" s="144"/>
      <c r="B3" s="144" t="s">
        <v>40</v>
      </c>
      <c r="C3" s="144"/>
      <c r="D3" s="145"/>
      <c r="E3" s="145"/>
      <c r="F3" s="146"/>
      <c r="G3" s="147"/>
      <c r="H3" s="148"/>
      <c r="I3" s="149"/>
      <c r="J3" s="150"/>
      <c r="L3" t="s">
        <v>418</v>
      </c>
      <c r="N3">
        <v>0</v>
      </c>
      <c r="O3">
        <v>4.29</v>
      </c>
      <c r="P3">
        <v>0</v>
      </c>
      <c r="Q3">
        <v>90.89</v>
      </c>
      <c r="R3">
        <v>82.87</v>
      </c>
      <c r="S3">
        <v>8.02</v>
      </c>
      <c r="T3">
        <v>0</v>
      </c>
      <c r="U3">
        <v>0</v>
      </c>
      <c r="V3">
        <v>0</v>
      </c>
      <c r="W3">
        <v>85.47</v>
      </c>
      <c r="X3">
        <v>36.53</v>
      </c>
      <c r="Y3">
        <v>16.09</v>
      </c>
      <c r="Z3">
        <v>28.04</v>
      </c>
      <c r="AA3">
        <v>4.8099999999999996</v>
      </c>
      <c r="AB3">
        <v>36.01</v>
      </c>
    </row>
    <row r="4" spans="1:28" ht="15.75">
      <c r="A4" s="144"/>
      <c r="B4" s="144"/>
      <c r="C4" s="144"/>
      <c r="D4" s="145"/>
      <c r="E4" s="145"/>
      <c r="F4" s="146"/>
      <c r="G4" s="147"/>
      <c r="H4" s="148"/>
      <c r="I4" s="149"/>
      <c r="J4" s="150"/>
      <c r="L4" t="s">
        <v>419</v>
      </c>
      <c r="N4">
        <v>0</v>
      </c>
      <c r="O4">
        <v>8.5399999999999991</v>
      </c>
      <c r="P4">
        <v>0</v>
      </c>
      <c r="Q4">
        <v>196.93</v>
      </c>
      <c r="R4">
        <v>192.33</v>
      </c>
      <c r="S4">
        <v>4.5999999999999996</v>
      </c>
      <c r="T4">
        <v>0</v>
      </c>
      <c r="U4">
        <v>0</v>
      </c>
      <c r="V4">
        <v>0</v>
      </c>
      <c r="W4">
        <v>177.96</v>
      </c>
      <c r="X4">
        <v>89.52</v>
      </c>
      <c r="Y4">
        <v>32.4</v>
      </c>
      <c r="Z4">
        <v>47.99</v>
      </c>
      <c r="AA4">
        <v>8.0500000000000007</v>
      </c>
      <c r="AB4">
        <v>89.52</v>
      </c>
    </row>
    <row r="5" spans="1:28" ht="15.75">
      <c r="A5" s="151"/>
      <c r="B5" s="151"/>
      <c r="C5" s="151"/>
      <c r="D5" s="152"/>
      <c r="E5" s="152"/>
      <c r="F5" s="153"/>
      <c r="G5" s="154"/>
      <c r="H5" s="155"/>
      <c r="I5" s="156"/>
      <c r="J5" s="155"/>
      <c r="K5" s="157"/>
      <c r="L5" s="157" t="s">
        <v>420</v>
      </c>
      <c r="N5">
        <v>0</v>
      </c>
      <c r="O5">
        <v>2.87</v>
      </c>
      <c r="P5">
        <v>0</v>
      </c>
      <c r="Q5">
        <v>50.12</v>
      </c>
      <c r="R5">
        <v>50.12</v>
      </c>
      <c r="S5">
        <v>0</v>
      </c>
      <c r="T5">
        <v>0</v>
      </c>
      <c r="U5">
        <v>0</v>
      </c>
      <c r="V5">
        <v>0</v>
      </c>
      <c r="W5">
        <v>45.05</v>
      </c>
      <c r="X5">
        <v>13.36</v>
      </c>
      <c r="Y5">
        <v>10.75</v>
      </c>
      <c r="Z5">
        <v>17.7</v>
      </c>
      <c r="AA5">
        <v>3.25</v>
      </c>
      <c r="AB5">
        <v>13.36</v>
      </c>
    </row>
    <row r="6" spans="1:28" ht="14.25">
      <c r="A6" s="158"/>
      <c r="B6" s="159"/>
      <c r="C6" s="159"/>
      <c r="D6" s="160"/>
      <c r="E6" s="160"/>
      <c r="F6" s="161"/>
      <c r="G6" s="162"/>
      <c r="H6" s="150"/>
      <c r="I6" s="163"/>
      <c r="J6" s="150"/>
      <c r="K6" s="136"/>
      <c r="L6" s="136" t="s">
        <v>421</v>
      </c>
      <c r="N6">
        <v>0</v>
      </c>
      <c r="O6">
        <v>1.94</v>
      </c>
      <c r="P6">
        <v>0</v>
      </c>
      <c r="Q6">
        <v>42.6</v>
      </c>
      <c r="R6">
        <v>42.18</v>
      </c>
      <c r="S6">
        <v>0.41</v>
      </c>
      <c r="T6">
        <v>0</v>
      </c>
      <c r="U6">
        <v>0</v>
      </c>
      <c r="V6">
        <v>0</v>
      </c>
      <c r="W6">
        <v>39.93</v>
      </c>
      <c r="X6">
        <v>21.08</v>
      </c>
      <c r="Y6">
        <v>7.35</v>
      </c>
      <c r="Z6">
        <v>9.6999999999999993</v>
      </c>
      <c r="AA6">
        <v>1.8</v>
      </c>
      <c r="AB6">
        <v>21.08</v>
      </c>
    </row>
    <row r="7" spans="1:28" ht="15">
      <c r="A7" s="164" t="s">
        <v>58</v>
      </c>
      <c r="B7" s="164" t="s">
        <v>57</v>
      </c>
      <c r="C7" s="164"/>
      <c r="D7" s="165"/>
      <c r="E7" s="165"/>
      <c r="F7" s="166"/>
      <c r="G7" s="167"/>
      <c r="H7" s="168"/>
      <c r="I7" s="169"/>
      <c r="J7" s="150"/>
      <c r="L7" t="s">
        <v>422</v>
      </c>
      <c r="N7">
        <v>0</v>
      </c>
      <c r="O7">
        <v>3.24</v>
      </c>
      <c r="P7">
        <v>0</v>
      </c>
      <c r="Q7">
        <v>74.75</v>
      </c>
      <c r="R7">
        <v>74.72</v>
      </c>
      <c r="S7">
        <v>0.02</v>
      </c>
      <c r="T7">
        <v>0</v>
      </c>
      <c r="U7">
        <v>0</v>
      </c>
      <c r="V7">
        <v>0</v>
      </c>
      <c r="W7">
        <v>71.88</v>
      </c>
      <c r="X7">
        <v>43.08</v>
      </c>
      <c r="Y7">
        <v>12.31</v>
      </c>
      <c r="Z7">
        <v>13.79</v>
      </c>
      <c r="AA7">
        <v>2.7</v>
      </c>
      <c r="AB7">
        <v>43.08</v>
      </c>
    </row>
    <row r="8" spans="1:28" ht="14.25">
      <c r="A8" s="137"/>
      <c r="B8" s="138"/>
      <c r="C8" s="138"/>
      <c r="D8" s="160"/>
      <c r="E8" s="160"/>
      <c r="F8" s="170"/>
      <c r="G8" s="171"/>
      <c r="H8" s="150"/>
      <c r="I8" s="163"/>
      <c r="J8" s="150"/>
      <c r="L8" t="s">
        <v>423</v>
      </c>
      <c r="N8">
        <v>0</v>
      </c>
      <c r="O8">
        <v>6.03</v>
      </c>
      <c r="P8">
        <v>0</v>
      </c>
      <c r="Q8">
        <v>136.65</v>
      </c>
      <c r="R8">
        <v>136.59</v>
      </c>
      <c r="S8">
        <v>7.0000000000000007E-2</v>
      </c>
      <c r="T8">
        <v>0</v>
      </c>
      <c r="U8">
        <v>0</v>
      </c>
      <c r="V8">
        <v>0</v>
      </c>
      <c r="W8">
        <v>131.24</v>
      </c>
      <c r="X8">
        <v>77.22</v>
      </c>
      <c r="Y8">
        <v>22.88</v>
      </c>
      <c r="Z8">
        <v>26.05</v>
      </c>
      <c r="AA8">
        <v>5.0999999999999996</v>
      </c>
      <c r="AB8">
        <v>77.22</v>
      </c>
    </row>
    <row r="9" spans="1:28" ht="25.5">
      <c r="A9" s="172" t="s">
        <v>58</v>
      </c>
      <c r="B9" s="173" t="s">
        <v>59</v>
      </c>
      <c r="C9" s="173"/>
      <c r="D9" s="174" t="s">
        <v>60</v>
      </c>
      <c r="E9" s="160">
        <f>165+255+55+20</f>
        <v>495</v>
      </c>
      <c r="F9" s="175">
        <f>Q25+Q26+Q27+Q28</f>
        <v>397.42999999999995</v>
      </c>
      <c r="G9" s="167">
        <v>2</v>
      </c>
      <c r="H9" s="176"/>
      <c r="I9" s="163"/>
      <c r="J9" s="176">
        <f>F9*H9</f>
        <v>0</v>
      </c>
      <c r="K9" s="136"/>
      <c r="L9" s="177" t="s">
        <v>424</v>
      </c>
      <c r="M9" s="178"/>
      <c r="N9">
        <v>0</v>
      </c>
      <c r="O9">
        <v>4.13</v>
      </c>
      <c r="P9">
        <v>0</v>
      </c>
      <c r="Q9">
        <v>96.23</v>
      </c>
      <c r="R9">
        <v>95.83</v>
      </c>
      <c r="S9">
        <v>0.4</v>
      </c>
      <c r="T9">
        <v>0</v>
      </c>
      <c r="U9">
        <v>0</v>
      </c>
      <c r="V9">
        <v>0</v>
      </c>
      <c r="W9">
        <v>92.61</v>
      </c>
      <c r="X9">
        <v>56.1</v>
      </c>
      <c r="Y9">
        <v>15.69</v>
      </c>
      <c r="Z9">
        <v>17.41</v>
      </c>
      <c r="AA9">
        <v>3.41</v>
      </c>
      <c r="AB9">
        <v>56.1</v>
      </c>
    </row>
    <row r="10" spans="1:28" ht="14.25">
      <c r="A10" s="172"/>
      <c r="B10" s="158"/>
      <c r="C10" s="158"/>
      <c r="D10" s="160"/>
      <c r="E10" s="160"/>
      <c r="F10" s="160"/>
      <c r="G10" s="179"/>
      <c r="H10" s="150"/>
      <c r="I10" s="163"/>
      <c r="J10" s="150"/>
      <c r="K10" s="136"/>
      <c r="L10" s="136" t="s">
        <v>425</v>
      </c>
      <c r="N10">
        <v>0</v>
      </c>
      <c r="O10">
        <v>5.88</v>
      </c>
      <c r="P10">
        <v>0</v>
      </c>
      <c r="Q10">
        <v>135.91</v>
      </c>
      <c r="R10">
        <v>134.57</v>
      </c>
      <c r="S10">
        <v>1.33</v>
      </c>
      <c r="T10">
        <v>0</v>
      </c>
      <c r="U10">
        <v>0</v>
      </c>
      <c r="V10">
        <v>0</v>
      </c>
      <c r="W10">
        <v>130.74</v>
      </c>
      <c r="X10">
        <v>78.52</v>
      </c>
      <c r="Y10">
        <v>22.33</v>
      </c>
      <c r="Z10">
        <v>24.99</v>
      </c>
      <c r="AA10">
        <v>4.9000000000000004</v>
      </c>
      <c r="AB10">
        <v>78.52</v>
      </c>
    </row>
    <row r="11" spans="1:28" ht="38.25">
      <c r="A11" s="172" t="s">
        <v>61</v>
      </c>
      <c r="B11" s="173" t="s">
        <v>62</v>
      </c>
      <c r="C11" s="173"/>
      <c r="D11" s="174" t="s">
        <v>190</v>
      </c>
      <c r="E11" s="160"/>
      <c r="F11" s="175">
        <f>R19+R20+R21</f>
        <v>12</v>
      </c>
      <c r="G11" s="167"/>
      <c r="H11" s="176"/>
      <c r="I11" s="163"/>
      <c r="J11" s="176">
        <f>F11*H11</f>
        <v>0</v>
      </c>
      <c r="K11" s="136"/>
      <c r="L11" s="136" t="s">
        <v>426</v>
      </c>
      <c r="N11">
        <v>0</v>
      </c>
      <c r="O11">
        <v>2.87</v>
      </c>
      <c r="P11">
        <v>0</v>
      </c>
      <c r="Q11">
        <v>60.16</v>
      </c>
      <c r="R11">
        <v>60.16</v>
      </c>
      <c r="S11">
        <v>0</v>
      </c>
      <c r="T11">
        <v>0</v>
      </c>
      <c r="U11">
        <v>0</v>
      </c>
      <c r="V11">
        <v>0</v>
      </c>
      <c r="W11">
        <v>58.45</v>
      </c>
      <c r="X11">
        <v>33.44</v>
      </c>
      <c r="Y11">
        <v>10.84</v>
      </c>
      <c r="Z11">
        <v>11.75</v>
      </c>
      <c r="AA11">
        <v>2.42</v>
      </c>
      <c r="AB11">
        <v>33.44</v>
      </c>
    </row>
    <row r="12" spans="1:28" ht="14.25">
      <c r="A12" s="172"/>
      <c r="B12" s="173"/>
      <c r="C12" s="173"/>
      <c r="D12" s="160"/>
      <c r="E12" s="160"/>
      <c r="F12" s="166"/>
      <c r="G12" s="167"/>
      <c r="H12" s="168"/>
      <c r="I12" s="180"/>
      <c r="J12" s="168"/>
      <c r="K12" s="136"/>
      <c r="L12" s="136" t="s">
        <v>427</v>
      </c>
      <c r="N12">
        <v>0</v>
      </c>
      <c r="O12">
        <v>3.8</v>
      </c>
      <c r="P12">
        <v>0</v>
      </c>
      <c r="Q12">
        <v>78.94</v>
      </c>
      <c r="R12">
        <v>78.94</v>
      </c>
      <c r="S12">
        <v>0</v>
      </c>
      <c r="T12">
        <v>0</v>
      </c>
      <c r="U12">
        <v>0</v>
      </c>
      <c r="V12">
        <v>0</v>
      </c>
      <c r="W12">
        <v>76.66</v>
      </c>
      <c r="X12">
        <v>43.36</v>
      </c>
      <c r="Y12">
        <v>14.36</v>
      </c>
      <c r="Z12">
        <v>15.7</v>
      </c>
      <c r="AA12">
        <v>3.24</v>
      </c>
      <c r="AB12">
        <v>43.36</v>
      </c>
    </row>
    <row r="13" spans="1:28" ht="38.25">
      <c r="A13" s="172" t="s">
        <v>63</v>
      </c>
      <c r="B13" s="173" t="s">
        <v>70</v>
      </c>
      <c r="C13" s="173"/>
      <c r="D13" s="174" t="s">
        <v>71</v>
      </c>
      <c r="E13" s="165"/>
      <c r="F13" s="175">
        <v>5</v>
      </c>
      <c r="G13" s="167"/>
      <c r="H13" s="176"/>
      <c r="I13" s="182"/>
      <c r="J13" s="176">
        <f>F13*H13</f>
        <v>0</v>
      </c>
      <c r="K13" s="136"/>
      <c r="L13" t="s">
        <v>428</v>
      </c>
      <c r="N13">
        <v>0</v>
      </c>
      <c r="O13">
        <v>6.53</v>
      </c>
      <c r="P13">
        <v>0</v>
      </c>
      <c r="Q13">
        <v>136</v>
      </c>
      <c r="R13">
        <v>136</v>
      </c>
      <c r="S13">
        <v>0</v>
      </c>
      <c r="T13">
        <v>0</v>
      </c>
      <c r="U13">
        <v>0</v>
      </c>
      <c r="V13">
        <v>0</v>
      </c>
      <c r="W13">
        <v>132.09</v>
      </c>
      <c r="X13">
        <v>75.010000000000005</v>
      </c>
      <c r="Y13">
        <v>24.66</v>
      </c>
      <c r="Z13">
        <v>26.88</v>
      </c>
      <c r="AA13">
        <v>5.54</v>
      </c>
      <c r="AB13">
        <v>75.010000000000005</v>
      </c>
    </row>
    <row r="14" spans="1:28" ht="14.25">
      <c r="A14" s="172"/>
      <c r="B14" s="173"/>
      <c r="C14" s="173"/>
      <c r="D14" s="165"/>
      <c r="E14" s="165"/>
      <c r="F14" s="166"/>
      <c r="G14" s="167"/>
      <c r="H14" s="168"/>
      <c r="I14" s="182"/>
      <c r="J14" s="168"/>
      <c r="K14" s="136"/>
      <c r="L14" t="s">
        <v>429</v>
      </c>
      <c r="N14">
        <v>0</v>
      </c>
      <c r="O14">
        <v>2.72</v>
      </c>
      <c r="P14">
        <v>0</v>
      </c>
      <c r="Q14">
        <v>52.52</v>
      </c>
      <c r="R14">
        <v>52.52</v>
      </c>
      <c r="S14">
        <v>0</v>
      </c>
      <c r="T14">
        <v>0</v>
      </c>
      <c r="U14">
        <v>0</v>
      </c>
      <c r="V14">
        <v>0</v>
      </c>
      <c r="W14">
        <v>50.78</v>
      </c>
      <c r="X14">
        <v>26.09</v>
      </c>
      <c r="Y14">
        <v>10.24</v>
      </c>
      <c r="Z14">
        <v>11.98</v>
      </c>
      <c r="AA14">
        <v>2.4700000000000002</v>
      </c>
      <c r="AB14">
        <v>26.09</v>
      </c>
    </row>
    <row r="15" spans="1:28" ht="14.25">
      <c r="A15" s="190"/>
      <c r="B15" s="258"/>
      <c r="C15" s="258"/>
      <c r="D15" s="165"/>
      <c r="E15" s="165"/>
      <c r="F15" s="166"/>
      <c r="G15" s="167"/>
      <c r="H15" s="168"/>
      <c r="I15" s="182"/>
      <c r="J15" s="168"/>
      <c r="K15" s="136"/>
    </row>
    <row r="16" spans="1:28" ht="14.25">
      <c r="A16" s="172"/>
      <c r="B16" s="173"/>
      <c r="C16" s="173"/>
      <c r="D16" s="165"/>
      <c r="E16" s="165"/>
      <c r="F16" s="166"/>
      <c r="G16" s="167"/>
      <c r="H16" s="168"/>
      <c r="I16" s="182"/>
      <c r="J16" s="168"/>
      <c r="K16" s="136"/>
    </row>
    <row r="17" spans="1:18" ht="15" thickBot="1">
      <c r="A17" s="183"/>
      <c r="B17" s="184" t="s">
        <v>75</v>
      </c>
      <c r="C17" s="184"/>
      <c r="D17" s="185"/>
      <c r="E17" s="185"/>
      <c r="F17" s="186"/>
      <c r="G17" s="185"/>
      <c r="H17" s="187"/>
      <c r="I17" s="188"/>
      <c r="J17" s="189">
        <f>SUM(J9:J15)</f>
        <v>0</v>
      </c>
      <c r="K17" s="136"/>
    </row>
    <row r="18" spans="1:18" ht="15" thickTop="1">
      <c r="A18" s="190"/>
      <c r="B18" s="191"/>
      <c r="C18" s="191"/>
      <c r="D18" s="192"/>
      <c r="E18" s="192"/>
      <c r="F18" s="165"/>
      <c r="G18" s="192"/>
      <c r="H18" s="193"/>
      <c r="I18" s="182"/>
      <c r="J18" s="194"/>
      <c r="K18" s="136"/>
    </row>
    <row r="19" spans="1:18" ht="14.25">
      <c r="A19" s="190"/>
      <c r="B19" s="191"/>
      <c r="C19" s="191"/>
      <c r="D19" s="192"/>
      <c r="E19" s="192"/>
      <c r="F19" s="165"/>
      <c r="G19" s="192"/>
      <c r="H19" s="193"/>
      <c r="I19" s="182"/>
      <c r="J19" s="194"/>
      <c r="K19" s="136"/>
      <c r="L19" s="136" t="s">
        <v>179</v>
      </c>
      <c r="M19" t="s">
        <v>389</v>
      </c>
      <c r="N19">
        <v>2</v>
      </c>
      <c r="O19" t="s">
        <v>416</v>
      </c>
      <c r="P19" t="s">
        <v>391</v>
      </c>
      <c r="Q19">
        <v>1000</v>
      </c>
      <c r="R19">
        <v>2</v>
      </c>
    </row>
    <row r="20" spans="1:18" ht="15">
      <c r="A20" s="195" t="s">
        <v>61</v>
      </c>
      <c r="B20" s="196" t="s">
        <v>76</v>
      </c>
      <c r="C20" s="196"/>
      <c r="D20" s="160"/>
      <c r="E20" s="160"/>
      <c r="F20" s="170"/>
      <c r="G20" s="171"/>
      <c r="H20" s="197"/>
      <c r="I20" s="180"/>
      <c r="J20" s="198"/>
      <c r="K20" s="136"/>
      <c r="L20" s="136" t="s">
        <v>177</v>
      </c>
      <c r="M20" t="s">
        <v>389</v>
      </c>
      <c r="N20">
        <v>9</v>
      </c>
      <c r="O20" t="s">
        <v>390</v>
      </c>
      <c r="P20" t="s">
        <v>391</v>
      </c>
      <c r="Q20">
        <v>1000</v>
      </c>
      <c r="R20">
        <v>9</v>
      </c>
    </row>
    <row r="21" spans="1:18" ht="30">
      <c r="A21" s="195"/>
      <c r="B21" s="196" t="s">
        <v>430</v>
      </c>
      <c r="C21" s="196"/>
      <c r="D21" s="160"/>
      <c r="E21" s="160"/>
      <c r="F21" s="170"/>
      <c r="G21" s="171"/>
      <c r="H21" s="197"/>
      <c r="I21" s="180"/>
      <c r="J21" s="198"/>
      <c r="K21" s="136"/>
      <c r="L21" s="136" t="s">
        <v>175</v>
      </c>
      <c r="M21" t="s">
        <v>389</v>
      </c>
      <c r="N21">
        <v>1</v>
      </c>
      <c r="O21" t="s">
        <v>405</v>
      </c>
      <c r="P21" t="s">
        <v>391</v>
      </c>
      <c r="Q21">
        <v>1000</v>
      </c>
      <c r="R21">
        <v>1</v>
      </c>
    </row>
    <row r="22" spans="1:18" ht="38.25">
      <c r="A22" s="172" t="s">
        <v>58</v>
      </c>
      <c r="B22" s="173" t="s">
        <v>77</v>
      </c>
      <c r="C22" s="173"/>
      <c r="D22" s="160"/>
      <c r="E22" s="160"/>
      <c r="F22" s="170"/>
      <c r="G22" s="171"/>
      <c r="H22" s="197"/>
      <c r="I22" s="180"/>
      <c r="J22" s="198"/>
      <c r="K22" s="136"/>
      <c r="L22" s="136"/>
    </row>
    <row r="23" spans="1:18" ht="15">
      <c r="A23" s="195"/>
      <c r="B23" s="196"/>
      <c r="C23" s="196"/>
      <c r="D23" s="174" t="s">
        <v>108</v>
      </c>
      <c r="E23" s="160"/>
      <c r="F23" s="175">
        <f>SUM(O3:O7)</f>
        <v>20.880000000000003</v>
      </c>
      <c r="G23" s="171"/>
      <c r="H23" s="201"/>
      <c r="I23" s="180"/>
      <c r="J23" s="202">
        <f>F23*H23</f>
        <v>0</v>
      </c>
      <c r="K23" s="136"/>
      <c r="L23" s="136"/>
    </row>
    <row r="24" spans="1:18" ht="15">
      <c r="A24" s="195"/>
      <c r="B24" s="196"/>
      <c r="C24" s="196"/>
      <c r="D24" s="160"/>
      <c r="E24" s="160"/>
      <c r="F24" s="170"/>
      <c r="G24" s="171"/>
      <c r="H24" s="197"/>
      <c r="I24" s="180"/>
      <c r="J24" s="198"/>
      <c r="K24" s="136"/>
      <c r="L24" s="136" t="s">
        <v>221</v>
      </c>
      <c r="N24" t="s">
        <v>239</v>
      </c>
      <c r="P24" t="s">
        <v>238</v>
      </c>
      <c r="Q24" s="450" t="s">
        <v>394</v>
      </c>
    </row>
    <row r="25" spans="1:18" ht="51">
      <c r="A25" s="203" t="s">
        <v>61</v>
      </c>
      <c r="B25" s="204" t="s">
        <v>22</v>
      </c>
      <c r="C25" s="205"/>
      <c r="D25" s="206"/>
      <c r="E25" s="206"/>
      <c r="F25" s="207"/>
      <c r="G25" s="208"/>
      <c r="H25" s="209"/>
      <c r="I25" s="180"/>
      <c r="J25" s="194"/>
      <c r="K25" s="136"/>
      <c r="L25" s="136" t="s">
        <v>407</v>
      </c>
      <c r="N25">
        <v>123.76</v>
      </c>
      <c r="P25">
        <v>296.60000000000002</v>
      </c>
      <c r="Q25">
        <v>123.76</v>
      </c>
    </row>
    <row r="26" spans="1:18" ht="15.75">
      <c r="A26" s="210"/>
      <c r="B26" s="205" t="s">
        <v>78</v>
      </c>
      <c r="C26" s="205"/>
      <c r="D26" s="211" t="s">
        <v>108</v>
      </c>
      <c r="E26" s="206"/>
      <c r="F26" s="212">
        <f>SUM(R3:S7)*0.95 + (680*10.5+171.46)*0.33*0.33*0.95</f>
        <v>1188.9135943000001</v>
      </c>
      <c r="G26" s="208"/>
      <c r="H26" s="213"/>
      <c r="I26" s="180"/>
      <c r="J26" s="202">
        <f>F26*H26</f>
        <v>0</v>
      </c>
      <c r="K26" s="136"/>
      <c r="L26" s="136" t="s">
        <v>414</v>
      </c>
      <c r="N26">
        <v>135.94999999999999</v>
      </c>
      <c r="P26">
        <v>376.6</v>
      </c>
      <c r="Q26">
        <v>135.94999999999999</v>
      </c>
    </row>
    <row r="27" spans="1:18" ht="14.25">
      <c r="A27" s="203"/>
      <c r="B27" s="205" t="s">
        <v>79</v>
      </c>
      <c r="C27" s="205"/>
      <c r="D27" s="211" t="s">
        <v>108</v>
      </c>
      <c r="E27" s="206"/>
      <c r="F27" s="212">
        <f>SUM(R3:S7)*0.05+ (680*10.5+171.46)*0.33*0.33*0.05</f>
        <v>62.574399700000015</v>
      </c>
      <c r="G27" s="208"/>
      <c r="H27" s="213"/>
      <c r="I27" s="180"/>
      <c r="J27" s="202">
        <f>F27*H27</f>
        <v>0</v>
      </c>
      <c r="K27" s="136"/>
      <c r="L27" s="136" t="s">
        <v>408</v>
      </c>
      <c r="N27">
        <v>40.22</v>
      </c>
      <c r="P27">
        <v>470.8</v>
      </c>
      <c r="Q27">
        <v>40.22</v>
      </c>
    </row>
    <row r="28" spans="1:18" ht="14.25">
      <c r="A28" s="203"/>
      <c r="B28" s="173"/>
      <c r="C28" s="205"/>
      <c r="D28" s="214"/>
      <c r="E28" s="206"/>
      <c r="F28" s="207"/>
      <c r="G28" s="208"/>
      <c r="H28" s="215"/>
      <c r="I28" s="180"/>
      <c r="J28" s="194"/>
      <c r="K28" s="199"/>
      <c r="L28" s="136" t="s">
        <v>415</v>
      </c>
      <c r="N28">
        <v>97.5</v>
      </c>
      <c r="P28">
        <v>593.20000000000005</v>
      </c>
      <c r="Q28">
        <v>97.5</v>
      </c>
    </row>
    <row r="29" spans="1:18" ht="25.5">
      <c r="A29" s="203" t="s">
        <v>63</v>
      </c>
      <c r="B29" s="205" t="s">
        <v>21</v>
      </c>
      <c r="C29" s="205"/>
      <c r="D29" s="206"/>
      <c r="E29" s="206"/>
      <c r="F29" s="216"/>
      <c r="G29" s="217"/>
      <c r="H29" s="209"/>
      <c r="I29" s="180"/>
      <c r="J29" s="218"/>
      <c r="K29" s="199"/>
      <c r="L29" s="199"/>
      <c r="N29" s="200"/>
      <c r="O29" s="200"/>
    </row>
    <row r="30" spans="1:18" ht="14.25">
      <c r="A30" s="203"/>
      <c r="B30" s="205"/>
      <c r="C30" s="205"/>
      <c r="D30" s="211" t="s">
        <v>105</v>
      </c>
      <c r="E30" s="206"/>
      <c r="F30" s="220">
        <v>138</v>
      </c>
      <c r="G30" s="221"/>
      <c r="H30" s="213"/>
      <c r="I30" s="180"/>
      <c r="J30" s="202">
        <f>F30*H30</f>
        <v>0</v>
      </c>
      <c r="K30" s="199"/>
      <c r="L30" s="199"/>
      <c r="N30" s="200"/>
      <c r="O30" s="200"/>
    </row>
    <row r="31" spans="1:18" ht="14.25">
      <c r="A31" s="172"/>
      <c r="B31" s="173"/>
      <c r="C31" s="173"/>
      <c r="D31" s="165"/>
      <c r="E31" s="160"/>
      <c r="F31" s="222"/>
      <c r="G31" s="223"/>
      <c r="H31" s="215"/>
      <c r="I31" s="180"/>
      <c r="J31" s="194"/>
      <c r="K31" s="199"/>
      <c r="L31" s="199"/>
      <c r="N31" s="200"/>
      <c r="O31" s="200"/>
    </row>
    <row r="32" spans="1:18" ht="51">
      <c r="A32" s="172" t="s">
        <v>67</v>
      </c>
      <c r="B32" s="224" t="s">
        <v>80</v>
      </c>
      <c r="C32" s="225"/>
      <c r="D32" s="174" t="s">
        <v>108</v>
      </c>
      <c r="E32" s="160"/>
      <c r="F32" s="175">
        <f>AA2</f>
        <v>47.68</v>
      </c>
      <c r="G32" s="167"/>
      <c r="H32" s="213"/>
      <c r="I32" s="169"/>
      <c r="J32" s="202">
        <f>F32*H32</f>
        <v>0</v>
      </c>
      <c r="K32" s="200"/>
      <c r="L32" s="199"/>
      <c r="M32" s="200"/>
    </row>
    <row r="33" spans="1:15" ht="14.25">
      <c r="A33" s="172"/>
      <c r="B33" s="224"/>
      <c r="C33" s="225"/>
      <c r="D33" s="160"/>
      <c r="E33" s="160"/>
      <c r="F33" s="166"/>
      <c r="G33" s="167"/>
      <c r="H33" s="215"/>
      <c r="I33" s="169"/>
      <c r="J33" s="194"/>
      <c r="K33" s="200"/>
      <c r="L33" s="199"/>
      <c r="M33" s="200"/>
    </row>
    <row r="34" spans="1:15" ht="38.25">
      <c r="A34" s="172" t="s">
        <v>68</v>
      </c>
      <c r="B34" s="173" t="s">
        <v>24</v>
      </c>
      <c r="C34" s="225"/>
      <c r="D34" s="174" t="s">
        <v>108</v>
      </c>
      <c r="E34" s="160"/>
      <c r="F34" s="175">
        <f>SUM(Z4:Z14)</f>
        <v>223.94</v>
      </c>
      <c r="G34" s="167"/>
      <c r="H34" s="213"/>
      <c r="I34" s="169"/>
      <c r="J34" s="202">
        <f>F34*H34</f>
        <v>0</v>
      </c>
      <c r="K34" s="200"/>
      <c r="L34" s="199"/>
      <c r="M34" s="200"/>
    </row>
    <row r="35" spans="1:15" ht="14.25">
      <c r="A35" s="172"/>
      <c r="B35" s="173"/>
      <c r="C35" s="225"/>
      <c r="D35" s="165"/>
      <c r="E35" s="160"/>
      <c r="F35" s="166"/>
      <c r="G35" s="167"/>
      <c r="H35" s="215"/>
      <c r="I35" s="169"/>
      <c r="J35" s="194"/>
      <c r="K35" s="200"/>
      <c r="L35" s="199"/>
      <c r="M35" s="200"/>
    </row>
    <row r="36" spans="1:15" ht="76.5">
      <c r="A36" s="172" t="s">
        <v>69</v>
      </c>
      <c r="B36" s="224" t="s">
        <v>25</v>
      </c>
      <c r="C36" s="226"/>
      <c r="D36" s="179"/>
      <c r="E36" s="179"/>
      <c r="F36" s="166"/>
      <c r="G36" s="167"/>
      <c r="H36" s="198"/>
      <c r="I36" s="163"/>
      <c r="J36" s="198"/>
      <c r="K36" s="171"/>
      <c r="L36" s="219"/>
      <c r="M36" s="200"/>
    </row>
    <row r="37" spans="1:15" ht="15">
      <c r="A37" s="172"/>
      <c r="B37" s="173" t="s">
        <v>78</v>
      </c>
      <c r="C37" s="173"/>
      <c r="D37" s="174" t="s">
        <v>108</v>
      </c>
      <c r="E37" s="160"/>
      <c r="F37" s="175">
        <f>(F26+F27-F32-F34)*0.95</f>
        <v>930.8745942999999</v>
      </c>
      <c r="G37" s="167"/>
      <c r="H37" s="213"/>
      <c r="I37" s="163"/>
      <c r="J37" s="202">
        <f>F37*H37</f>
        <v>0</v>
      </c>
      <c r="K37" s="171"/>
      <c r="L37" s="219"/>
      <c r="M37" s="200"/>
    </row>
    <row r="38" spans="1:15" ht="14.25">
      <c r="A38" s="172"/>
      <c r="B38" s="173" t="s">
        <v>79</v>
      </c>
      <c r="C38" s="173"/>
      <c r="D38" s="174" t="s">
        <v>108</v>
      </c>
      <c r="E38" s="160"/>
      <c r="F38" s="181">
        <f>(F26+F27-F32-F34)*0.05</f>
        <v>48.993399699999998</v>
      </c>
      <c r="G38" s="167"/>
      <c r="H38" s="213"/>
      <c r="I38" s="163"/>
      <c r="J38" s="202">
        <f>F38*H38</f>
        <v>0</v>
      </c>
      <c r="K38" s="199"/>
      <c r="L38" s="199"/>
      <c r="M38" s="200"/>
      <c r="N38" s="200"/>
      <c r="O38" s="200"/>
    </row>
    <row r="39" spans="1:15" ht="14.25">
      <c r="A39" s="172"/>
      <c r="B39" s="173"/>
      <c r="C39" s="173"/>
      <c r="D39" s="165"/>
      <c r="E39" s="160"/>
      <c r="F39" s="166"/>
      <c r="G39" s="167"/>
      <c r="H39" s="215"/>
      <c r="I39" s="163"/>
      <c r="J39" s="194"/>
      <c r="K39" s="199"/>
      <c r="L39" s="199"/>
      <c r="M39" s="200"/>
      <c r="N39" s="200"/>
      <c r="O39" s="200"/>
    </row>
    <row r="40" spans="1:15" ht="63.75">
      <c r="A40" s="227" t="s">
        <v>72</v>
      </c>
      <c r="B40" s="228" t="s">
        <v>26</v>
      </c>
      <c r="C40" s="228"/>
      <c r="D40" s="229" t="s">
        <v>105</v>
      </c>
      <c r="E40" s="230"/>
      <c r="F40" s="231">
        <f>F30*1.2*2.5</f>
        <v>414</v>
      </c>
      <c r="G40" s="192"/>
      <c r="H40" s="202"/>
      <c r="I40" s="169"/>
      <c r="J40" s="202">
        <f>F40*H40</f>
        <v>0</v>
      </c>
      <c r="K40" s="199"/>
      <c r="L40" s="199"/>
      <c r="M40" s="200"/>
      <c r="N40" s="200"/>
      <c r="O40" s="200"/>
    </row>
    <row r="41" spans="1:15" ht="14.25">
      <c r="A41" s="172"/>
      <c r="B41" s="224"/>
      <c r="C41" s="226"/>
      <c r="D41" s="160"/>
      <c r="E41" s="160"/>
      <c r="F41" s="166"/>
      <c r="G41" s="167"/>
      <c r="H41" s="215"/>
      <c r="I41" s="163"/>
      <c r="J41" s="194"/>
      <c r="K41" s="199"/>
      <c r="L41" s="199"/>
      <c r="M41" s="200"/>
      <c r="N41" s="200"/>
      <c r="O41" s="200"/>
    </row>
    <row r="42" spans="1:15" ht="25.5">
      <c r="A42" s="172" t="s">
        <v>73</v>
      </c>
      <c r="B42" s="228" t="s">
        <v>27</v>
      </c>
      <c r="C42" s="226"/>
      <c r="D42" s="174" t="s">
        <v>108</v>
      </c>
      <c r="E42" s="160"/>
      <c r="F42" s="175">
        <f>F26+F27-F37-F38</f>
        <v>271.62000000000018</v>
      </c>
      <c r="G42" s="167"/>
      <c r="H42" s="213"/>
      <c r="I42" s="163"/>
      <c r="J42" s="202">
        <f>F42*H42</f>
        <v>0</v>
      </c>
      <c r="K42" s="199"/>
      <c r="L42" s="199"/>
      <c r="M42" s="200"/>
      <c r="N42" s="200"/>
      <c r="O42" s="200"/>
    </row>
    <row r="43" spans="1:15">
      <c r="A43" s="172"/>
      <c r="B43" s="228"/>
      <c r="C43" s="226"/>
      <c r="D43" s="165"/>
      <c r="E43" s="160"/>
      <c r="F43" s="166"/>
      <c r="G43" s="167"/>
      <c r="H43" s="215"/>
      <c r="I43" s="163"/>
      <c r="J43" s="194"/>
      <c r="K43" s="217"/>
      <c r="L43" s="200"/>
      <c r="M43" s="200"/>
      <c r="N43" s="200"/>
      <c r="O43" s="200"/>
    </row>
    <row r="44" spans="1:15" ht="13.5" thickBot="1">
      <c r="A44" s="183"/>
      <c r="B44" s="232" t="s">
        <v>28</v>
      </c>
      <c r="C44" s="232"/>
      <c r="D44" s="233"/>
      <c r="E44" s="233"/>
      <c r="F44" s="234"/>
      <c r="G44" s="235"/>
      <c r="H44" s="189"/>
      <c r="I44" s="236"/>
      <c r="J44" s="189">
        <f>SUM(J23:J43)</f>
        <v>0</v>
      </c>
      <c r="K44" s="217"/>
      <c r="L44" s="200"/>
      <c r="M44" s="200"/>
      <c r="N44" s="200"/>
      <c r="O44" s="200"/>
    </row>
    <row r="45" spans="1:15" ht="13.5" thickTop="1">
      <c r="A45" s="190"/>
      <c r="B45" s="237"/>
      <c r="C45" s="237"/>
      <c r="D45" s="238"/>
      <c r="E45" s="238"/>
      <c r="F45" s="166"/>
      <c r="G45" s="167"/>
      <c r="H45" s="194"/>
      <c r="I45" s="169"/>
      <c r="J45" s="194"/>
      <c r="K45" s="217"/>
      <c r="L45" s="200"/>
      <c r="M45" s="200"/>
      <c r="N45" s="200"/>
      <c r="O45" s="200"/>
    </row>
    <row r="46" spans="1:15">
      <c r="A46" s="190"/>
      <c r="B46" s="237"/>
      <c r="C46" s="237"/>
      <c r="D46" s="238"/>
      <c r="E46" s="238"/>
      <c r="F46" s="166"/>
      <c r="G46" s="167"/>
      <c r="H46" s="194"/>
      <c r="I46" s="169"/>
      <c r="J46" s="194"/>
      <c r="K46" s="217"/>
      <c r="L46" s="200"/>
      <c r="M46" s="200"/>
      <c r="N46" s="200"/>
      <c r="O46" s="200"/>
    </row>
    <row r="47" spans="1:15" ht="15">
      <c r="A47" s="195" t="s">
        <v>63</v>
      </c>
      <c r="B47" s="239" t="s">
        <v>29</v>
      </c>
      <c r="C47" s="239"/>
      <c r="D47" s="160"/>
      <c r="E47" s="160"/>
      <c r="F47" s="170"/>
      <c r="G47" s="171"/>
      <c r="H47" s="198"/>
      <c r="I47" s="163"/>
      <c r="J47" s="198"/>
      <c r="K47" s="217"/>
      <c r="L47" s="200"/>
      <c r="M47" s="200"/>
      <c r="N47" s="200"/>
      <c r="O47" s="200"/>
    </row>
    <row r="48" spans="1:15" ht="15">
      <c r="A48" s="195"/>
      <c r="B48" s="239"/>
      <c r="C48" s="239"/>
      <c r="D48" s="160"/>
      <c r="E48" s="160"/>
      <c r="F48" s="170"/>
      <c r="G48" s="171"/>
      <c r="H48" s="198"/>
      <c r="I48" s="163"/>
      <c r="J48" s="198"/>
      <c r="K48" s="217"/>
      <c r="L48" s="200"/>
      <c r="M48" s="200"/>
    </row>
    <row r="49" spans="1:15" ht="38.25">
      <c r="A49" s="172" t="s">
        <v>58</v>
      </c>
      <c r="B49" s="226" t="s">
        <v>409</v>
      </c>
      <c r="C49" s="226"/>
      <c r="D49" s="174" t="s">
        <v>60</v>
      </c>
      <c r="E49" s="160"/>
      <c r="F49" s="240">
        <f>Q25</f>
        <v>123.76</v>
      </c>
      <c r="G49" s="223"/>
      <c r="H49" s="213"/>
      <c r="I49" s="163"/>
      <c r="J49" s="202">
        <f>F49*H49</f>
        <v>0</v>
      </c>
      <c r="K49" s="217"/>
      <c r="L49" s="200"/>
      <c r="M49" s="200"/>
      <c r="N49" s="200"/>
      <c r="O49" s="200"/>
    </row>
    <row r="50" spans="1:15">
      <c r="A50" s="172"/>
      <c r="B50" s="226"/>
      <c r="C50" s="226"/>
      <c r="D50" s="160"/>
      <c r="E50" s="160"/>
      <c r="F50" s="170"/>
      <c r="G50" s="171"/>
      <c r="H50" s="198"/>
      <c r="I50" s="163"/>
      <c r="J50" s="198"/>
      <c r="K50" s="217"/>
      <c r="L50" s="200"/>
      <c r="M50" s="200"/>
      <c r="N50" s="200"/>
      <c r="O50" s="200"/>
    </row>
    <row r="51" spans="1:15" ht="15">
      <c r="A51" s="195"/>
      <c r="B51" s="239"/>
      <c r="C51" s="239"/>
      <c r="D51" s="160"/>
      <c r="E51" s="160"/>
      <c r="F51" s="170"/>
      <c r="G51" s="171"/>
      <c r="H51" s="198"/>
      <c r="I51" s="163"/>
      <c r="J51" s="198"/>
      <c r="K51" s="217"/>
      <c r="L51" s="200"/>
      <c r="M51" s="200"/>
      <c r="N51" s="200"/>
      <c r="O51" s="200"/>
    </row>
    <row r="52" spans="1:15" ht="38.25">
      <c r="A52" s="172" t="s">
        <v>61</v>
      </c>
      <c r="B52" s="226" t="s">
        <v>410</v>
      </c>
      <c r="C52" s="226"/>
      <c r="D52" s="174" t="s">
        <v>60</v>
      </c>
      <c r="E52" s="160"/>
      <c r="F52" s="240">
        <f>Q26</f>
        <v>135.94999999999999</v>
      </c>
      <c r="G52" s="223"/>
      <c r="H52" s="213"/>
      <c r="I52" s="163"/>
      <c r="J52" s="202">
        <f>F52*H52</f>
        <v>0</v>
      </c>
      <c r="K52" s="217"/>
      <c r="L52" s="200"/>
      <c r="M52" s="200"/>
      <c r="N52" s="200"/>
      <c r="O52" s="200"/>
    </row>
    <row r="53" spans="1:15">
      <c r="A53" s="172"/>
      <c r="B53" s="226"/>
      <c r="C53" s="226"/>
      <c r="D53" s="160"/>
      <c r="E53" s="160"/>
      <c r="F53" s="170"/>
      <c r="G53" s="171"/>
      <c r="H53" s="198"/>
      <c r="I53" s="163"/>
      <c r="J53" s="198"/>
      <c r="K53" s="217"/>
      <c r="L53" s="200"/>
      <c r="M53" s="200"/>
      <c r="N53" s="200"/>
      <c r="O53" s="200"/>
    </row>
    <row r="54" spans="1:15">
      <c r="A54" s="172"/>
      <c r="B54" s="226"/>
      <c r="C54" s="226"/>
      <c r="D54" s="160"/>
      <c r="E54" s="160"/>
      <c r="F54" s="170"/>
      <c r="G54" s="171"/>
      <c r="H54" s="198"/>
      <c r="I54" s="163"/>
      <c r="J54" s="198"/>
      <c r="K54" s="217"/>
      <c r="L54" s="200"/>
      <c r="M54" s="200"/>
      <c r="N54" s="200"/>
      <c r="O54" s="200"/>
    </row>
    <row r="55" spans="1:15" ht="51">
      <c r="A55" s="172" t="s">
        <v>63</v>
      </c>
      <c r="B55" s="241" t="s">
        <v>411</v>
      </c>
      <c r="C55" s="241"/>
      <c r="D55" s="165"/>
      <c r="E55" s="165"/>
      <c r="F55" s="166"/>
      <c r="G55" s="167"/>
      <c r="H55" s="198"/>
      <c r="I55" s="163"/>
      <c r="J55" s="198"/>
      <c r="K55" s="217"/>
      <c r="L55" s="200"/>
      <c r="M55" s="200"/>
      <c r="N55" s="200"/>
      <c r="O55" s="200"/>
    </row>
    <row r="56" spans="1:15">
      <c r="A56" s="172"/>
      <c r="B56" s="241"/>
      <c r="C56" s="241"/>
      <c r="D56" s="174" t="s">
        <v>190</v>
      </c>
      <c r="E56" s="165"/>
      <c r="F56" s="175">
        <f>R19</f>
        <v>2</v>
      </c>
      <c r="G56" s="167"/>
      <c r="H56" s="213"/>
      <c r="I56" s="163"/>
      <c r="J56" s="202">
        <f>F56*H56</f>
        <v>0</v>
      </c>
      <c r="K56" s="217"/>
      <c r="L56" s="200"/>
      <c r="M56" s="200"/>
      <c r="N56" s="200"/>
      <c r="O56" s="200"/>
    </row>
    <row r="57" spans="1:15">
      <c r="A57" s="172"/>
      <c r="B57" s="241"/>
      <c r="C57" s="241"/>
      <c r="D57" s="160"/>
      <c r="E57" s="160"/>
      <c r="F57" s="170"/>
      <c r="G57" s="171"/>
      <c r="H57" s="198"/>
      <c r="I57" s="163"/>
      <c r="J57" s="198"/>
      <c r="K57" s="217"/>
      <c r="L57" s="200"/>
      <c r="M57" s="200"/>
      <c r="N57" s="200"/>
      <c r="O57" s="200"/>
    </row>
    <row r="58" spans="1:15" ht="51">
      <c r="A58" s="172" t="s">
        <v>67</v>
      </c>
      <c r="B58" s="241" t="s">
        <v>412</v>
      </c>
      <c r="C58" s="241"/>
      <c r="D58" s="165"/>
      <c r="E58" s="165"/>
      <c r="F58" s="166"/>
      <c r="G58" s="167"/>
      <c r="H58" s="198"/>
      <c r="I58" s="163"/>
      <c r="J58" s="198"/>
      <c r="K58" s="217"/>
      <c r="L58" s="200"/>
      <c r="M58" s="200"/>
      <c r="N58" s="200"/>
      <c r="O58" s="200"/>
    </row>
    <row r="59" spans="1:15">
      <c r="A59" s="172"/>
      <c r="B59" s="241"/>
      <c r="C59" s="241"/>
      <c r="D59" s="174" t="s">
        <v>190</v>
      </c>
      <c r="E59" s="165"/>
      <c r="F59" s="175">
        <f>R20</f>
        <v>9</v>
      </c>
      <c r="G59" s="167"/>
      <c r="H59" s="213"/>
      <c r="I59" s="163"/>
      <c r="J59" s="202">
        <f>F59*H59</f>
        <v>0</v>
      </c>
      <c r="K59" s="217"/>
      <c r="L59" s="200"/>
      <c r="M59" s="200"/>
      <c r="N59" s="200"/>
      <c r="O59" s="200"/>
    </row>
    <row r="60" spans="1:15">
      <c r="A60" s="172"/>
      <c r="B60" s="241"/>
      <c r="C60" s="241"/>
      <c r="D60" s="160"/>
      <c r="E60" s="160"/>
      <c r="F60" s="170"/>
      <c r="G60" s="171"/>
      <c r="H60" s="198"/>
      <c r="I60" s="163"/>
      <c r="J60" s="198"/>
      <c r="K60" s="217"/>
      <c r="L60" s="200"/>
      <c r="M60" s="200"/>
      <c r="N60" s="200"/>
      <c r="O60" s="200"/>
    </row>
    <row r="61" spans="1:15">
      <c r="A61" s="172"/>
      <c r="B61" s="241"/>
      <c r="C61" s="241"/>
      <c r="D61" s="160"/>
      <c r="E61" s="160"/>
      <c r="F61" s="170"/>
      <c r="G61" s="171"/>
      <c r="H61" s="198"/>
      <c r="I61" s="163"/>
      <c r="J61" s="198"/>
      <c r="K61" s="217"/>
      <c r="L61" s="200"/>
      <c r="M61" s="200"/>
      <c r="N61" s="200"/>
      <c r="O61" s="200"/>
    </row>
    <row r="62" spans="1:15" ht="38.25">
      <c r="A62" s="172" t="s">
        <v>68</v>
      </c>
      <c r="B62" s="241" t="s">
        <v>413</v>
      </c>
      <c r="C62" s="241"/>
      <c r="D62" s="165"/>
      <c r="E62" s="165"/>
      <c r="F62" s="166"/>
      <c r="G62" s="167"/>
      <c r="H62" s="198"/>
      <c r="I62" s="163"/>
      <c r="J62" s="198"/>
      <c r="K62" s="242"/>
    </row>
    <row r="63" spans="1:15">
      <c r="A63" s="172"/>
      <c r="B63" s="241"/>
      <c r="C63" s="241"/>
      <c r="D63" s="174" t="s">
        <v>190</v>
      </c>
      <c r="E63" s="165"/>
      <c r="F63" s="175">
        <v>1</v>
      </c>
      <c r="G63" s="167"/>
      <c r="H63" s="213"/>
      <c r="I63" s="163"/>
      <c r="J63" s="202">
        <f>F63*H63</f>
        <v>0</v>
      </c>
      <c r="K63" s="242"/>
    </row>
    <row r="64" spans="1:15">
      <c r="A64" s="172"/>
      <c r="B64" s="241"/>
      <c r="C64" s="241"/>
      <c r="D64" s="160"/>
      <c r="E64" s="160"/>
      <c r="F64" s="170"/>
      <c r="G64" s="171"/>
      <c r="H64" s="198"/>
      <c r="I64" s="163"/>
      <c r="J64" s="198"/>
      <c r="K64" s="242"/>
    </row>
    <row r="65" spans="1:11">
      <c r="A65" s="172"/>
      <c r="B65" s="241"/>
      <c r="C65" s="241"/>
      <c r="D65" s="160"/>
      <c r="E65" s="160"/>
      <c r="F65" s="170"/>
      <c r="G65" s="171"/>
      <c r="H65" s="198"/>
      <c r="I65" s="163"/>
      <c r="J65" s="198"/>
      <c r="K65" s="242"/>
    </row>
    <row r="66" spans="1:11" ht="38.25">
      <c r="A66" s="172" t="s">
        <v>69</v>
      </c>
      <c r="B66" s="241" t="s">
        <v>431</v>
      </c>
      <c r="C66" s="241"/>
      <c r="D66" s="165"/>
      <c r="E66" s="165"/>
      <c r="F66" s="166"/>
      <c r="G66" s="167"/>
      <c r="H66" s="198"/>
      <c r="I66" s="163"/>
      <c r="J66" s="198"/>
      <c r="K66" s="242"/>
    </row>
    <row r="67" spans="1:11">
      <c r="A67" s="172"/>
      <c r="B67" s="241"/>
      <c r="C67" s="241"/>
      <c r="D67" s="174" t="s">
        <v>108</v>
      </c>
      <c r="E67" s="165"/>
      <c r="F67" s="175">
        <f>38.3*0.3</f>
        <v>11.489999999999998</v>
      </c>
      <c r="G67" s="167"/>
      <c r="H67" s="213"/>
      <c r="I67" s="163"/>
      <c r="J67" s="202">
        <f>F67*H67</f>
        <v>0</v>
      </c>
      <c r="K67" s="242"/>
    </row>
    <row r="68" spans="1:11">
      <c r="A68" s="172"/>
      <c r="B68" s="241"/>
      <c r="C68" s="241"/>
      <c r="D68" s="160"/>
      <c r="E68" s="160"/>
      <c r="F68" s="170"/>
      <c r="G68" s="171"/>
      <c r="H68" s="198"/>
      <c r="I68" s="163"/>
      <c r="J68" s="198"/>
      <c r="K68" s="242"/>
    </row>
    <row r="69" spans="1:11">
      <c r="A69" s="172"/>
      <c r="B69" s="241"/>
      <c r="C69" s="241"/>
      <c r="D69" s="160"/>
      <c r="E69" s="160"/>
      <c r="F69" s="170"/>
      <c r="G69" s="171"/>
      <c r="H69" s="198"/>
      <c r="I69" s="163"/>
      <c r="J69" s="198"/>
      <c r="K69" s="242"/>
    </row>
    <row r="70" spans="1:11" ht="38.25">
      <c r="A70" s="172" t="s">
        <v>72</v>
      </c>
      <c r="B70" s="241" t="s">
        <v>381</v>
      </c>
      <c r="C70" s="241"/>
      <c r="D70" s="165"/>
      <c r="E70" s="165"/>
      <c r="F70" s="166"/>
      <c r="G70" s="167"/>
      <c r="H70" s="198"/>
      <c r="I70" s="163"/>
      <c r="J70" s="198"/>
      <c r="K70" s="242"/>
    </row>
    <row r="71" spans="1:11">
      <c r="A71" s="172"/>
      <c r="B71" s="241"/>
      <c r="C71" s="241"/>
      <c r="D71" s="174" t="s">
        <v>190</v>
      </c>
      <c r="E71" s="165"/>
      <c r="F71" s="175">
        <v>1</v>
      </c>
      <c r="G71" s="167"/>
      <c r="H71" s="213"/>
      <c r="I71" s="163"/>
      <c r="J71" s="202">
        <f>F71*H71</f>
        <v>0</v>
      </c>
      <c r="K71" s="242"/>
    </row>
    <row r="72" spans="1:11">
      <c r="A72" s="172"/>
      <c r="B72" s="241"/>
      <c r="C72" s="241"/>
      <c r="D72" s="160"/>
      <c r="E72" s="160"/>
      <c r="F72" s="170"/>
      <c r="G72" s="171"/>
      <c r="H72" s="198"/>
      <c r="I72" s="163"/>
      <c r="J72" s="198"/>
      <c r="K72" s="242"/>
    </row>
    <row r="73" spans="1:11" ht="63.75">
      <c r="A73" s="172" t="s">
        <v>73</v>
      </c>
      <c r="B73" s="241" t="s">
        <v>433</v>
      </c>
      <c r="C73" s="241"/>
      <c r="D73" s="165"/>
      <c r="E73" s="165"/>
      <c r="F73" s="166"/>
      <c r="G73" s="167"/>
      <c r="H73" s="198"/>
      <c r="I73" s="163"/>
      <c r="J73" s="198"/>
      <c r="K73" s="242"/>
    </row>
    <row r="74" spans="1:11">
      <c r="A74" s="172"/>
      <c r="B74" s="241"/>
      <c r="C74" s="241"/>
      <c r="D74" s="174" t="s">
        <v>105</v>
      </c>
      <c r="E74" s="165"/>
      <c r="F74" s="175">
        <v>15</v>
      </c>
      <c r="G74" s="167"/>
      <c r="H74" s="213"/>
      <c r="I74" s="163"/>
      <c r="J74" s="202">
        <f>F74*H74</f>
        <v>0</v>
      </c>
      <c r="K74" s="242"/>
    </row>
    <row r="75" spans="1:11">
      <c r="A75" s="172"/>
      <c r="B75" s="241"/>
      <c r="C75" s="241"/>
      <c r="D75" s="160"/>
      <c r="E75" s="160"/>
      <c r="F75" s="170"/>
      <c r="G75" s="171"/>
      <c r="H75" s="198"/>
      <c r="I75" s="163"/>
      <c r="J75" s="198"/>
      <c r="K75" s="242"/>
    </row>
    <row r="76" spans="1:11" ht="51">
      <c r="A76" s="172" t="s">
        <v>439</v>
      </c>
      <c r="B76" s="241" t="s">
        <v>434</v>
      </c>
      <c r="C76" s="241"/>
      <c r="D76" s="165"/>
      <c r="E76" s="165"/>
      <c r="F76" s="166"/>
      <c r="G76" s="167"/>
      <c r="H76" s="198"/>
      <c r="I76" s="163"/>
      <c r="J76" s="198"/>
      <c r="K76" s="242"/>
    </row>
    <row r="77" spans="1:11" ht="25.5">
      <c r="A77" s="172"/>
      <c r="B77" s="241" t="s">
        <v>438</v>
      </c>
      <c r="C77" s="241"/>
      <c r="D77" s="165" t="s">
        <v>60</v>
      </c>
      <c r="E77" s="165"/>
      <c r="F77" s="166">
        <v>15</v>
      </c>
      <c r="G77" s="167"/>
      <c r="H77" s="198"/>
      <c r="I77" s="163"/>
      <c r="J77" s="202">
        <f>F77*H77</f>
        <v>0</v>
      </c>
      <c r="K77" s="242"/>
    </row>
    <row r="78" spans="1:11">
      <c r="A78" s="172"/>
      <c r="B78" s="241" t="s">
        <v>436</v>
      </c>
      <c r="C78" s="241"/>
      <c r="D78" s="174" t="s">
        <v>108</v>
      </c>
      <c r="E78" s="165"/>
      <c r="F78" s="175">
        <f>8*0.1</f>
        <v>0.8</v>
      </c>
      <c r="G78" s="167"/>
      <c r="H78" s="213"/>
      <c r="I78" s="163"/>
      <c r="J78" s="202">
        <f>F78*H78</f>
        <v>0</v>
      </c>
      <c r="K78" s="242"/>
    </row>
    <row r="79" spans="1:11">
      <c r="A79" s="172"/>
      <c r="B79" s="241"/>
      <c r="C79" s="241"/>
      <c r="D79" s="160"/>
      <c r="E79" s="160"/>
      <c r="F79" s="170"/>
      <c r="G79" s="171"/>
      <c r="H79" s="198"/>
      <c r="I79" s="163"/>
      <c r="J79" s="198"/>
      <c r="K79" s="242"/>
    </row>
    <row r="80" spans="1:11" ht="51">
      <c r="A80" s="172" t="s">
        <v>440</v>
      </c>
      <c r="B80" s="241" t="s">
        <v>437</v>
      </c>
      <c r="C80" s="241"/>
      <c r="D80" s="165"/>
      <c r="E80" s="165"/>
      <c r="F80" s="166"/>
      <c r="G80" s="167"/>
      <c r="H80" s="198"/>
      <c r="I80" s="163"/>
      <c r="J80" s="198"/>
      <c r="K80" s="242"/>
    </row>
    <row r="81" spans="1:11">
      <c r="A81" s="172"/>
      <c r="B81" s="241" t="s">
        <v>435</v>
      </c>
      <c r="C81" s="241"/>
      <c r="D81" s="165" t="s">
        <v>60</v>
      </c>
      <c r="E81" s="165"/>
      <c r="F81" s="166">
        <v>6</v>
      </c>
      <c r="G81" s="167"/>
      <c r="H81" s="198"/>
      <c r="I81" s="163"/>
      <c r="J81" s="202">
        <f>F81*H81</f>
        <v>0</v>
      </c>
      <c r="K81" s="242"/>
    </row>
    <row r="82" spans="1:11">
      <c r="A82" s="172"/>
      <c r="B82" s="241" t="s">
        <v>436</v>
      </c>
      <c r="C82" s="241"/>
      <c r="D82" s="174" t="s">
        <v>108</v>
      </c>
      <c r="E82" s="165"/>
      <c r="F82" s="175">
        <f>6*0.1</f>
        <v>0.60000000000000009</v>
      </c>
      <c r="G82" s="167"/>
      <c r="H82" s="213"/>
      <c r="I82" s="163"/>
      <c r="J82" s="202">
        <f>F82*H82</f>
        <v>0</v>
      </c>
      <c r="K82" s="242"/>
    </row>
    <row r="83" spans="1:11" ht="13.5" thickBot="1">
      <c r="A83" s="243"/>
      <c r="B83" s="244" t="s">
        <v>30</v>
      </c>
      <c r="C83" s="244"/>
      <c r="D83" s="186"/>
      <c r="E83" s="186"/>
      <c r="F83" s="234"/>
      <c r="G83" s="235"/>
      <c r="H83" s="189"/>
      <c r="I83" s="236"/>
      <c r="J83" s="189">
        <f>SUM(J49:J82)</f>
        <v>0</v>
      </c>
      <c r="K83" s="242"/>
    </row>
    <row r="84" spans="1:11" ht="13.5" thickTop="1">
      <c r="A84" s="245"/>
      <c r="B84" s="246"/>
      <c r="C84" s="246"/>
      <c r="D84" s="165"/>
      <c r="E84" s="165"/>
      <c r="F84" s="166"/>
      <c r="G84" s="167"/>
      <c r="H84" s="194"/>
      <c r="I84" s="169"/>
      <c r="J84" s="194"/>
      <c r="K84" s="242"/>
    </row>
    <row r="85" spans="1:11" ht="15.75">
      <c r="A85" s="247" t="s">
        <v>67</v>
      </c>
      <c r="B85" s="248" t="s">
        <v>31</v>
      </c>
      <c r="C85" s="248"/>
      <c r="D85" s="192"/>
      <c r="E85" s="192"/>
      <c r="F85" s="166"/>
      <c r="G85" s="167"/>
      <c r="H85" s="150"/>
      <c r="I85" s="163"/>
      <c r="J85" s="198"/>
      <c r="K85" s="242"/>
    </row>
    <row r="86" spans="1:11">
      <c r="A86" s="172"/>
      <c r="B86" s="249"/>
      <c r="C86" s="249"/>
      <c r="D86" s="250"/>
      <c r="E86" s="250"/>
      <c r="F86" s="170"/>
      <c r="G86" s="171"/>
      <c r="H86" s="150"/>
      <c r="I86" s="163"/>
      <c r="J86" s="198"/>
      <c r="K86" s="242"/>
    </row>
    <row r="87" spans="1:11" ht="25.5">
      <c r="A87" s="172" t="s">
        <v>58</v>
      </c>
      <c r="B87" s="173" t="s">
        <v>32</v>
      </c>
      <c r="C87" s="173"/>
      <c r="D87" s="251" t="s">
        <v>60</v>
      </c>
      <c r="E87" s="179"/>
      <c r="F87" s="175">
        <f>F9</f>
        <v>397.42999999999995</v>
      </c>
      <c r="G87" s="167"/>
      <c r="H87" s="213"/>
      <c r="I87" s="163"/>
      <c r="J87" s="202">
        <f>F87*H87</f>
        <v>0</v>
      </c>
      <c r="K87" s="242"/>
    </row>
    <row r="88" spans="1:11">
      <c r="A88" s="172"/>
      <c r="B88" s="173"/>
      <c r="C88" s="173"/>
      <c r="D88" s="179"/>
      <c r="E88" s="179"/>
      <c r="F88" s="170"/>
      <c r="G88" s="171"/>
      <c r="H88" s="150"/>
      <c r="I88" s="163"/>
      <c r="J88" s="198"/>
      <c r="K88" s="242"/>
    </row>
    <row r="89" spans="1:11">
      <c r="A89" s="172" t="s">
        <v>61</v>
      </c>
      <c r="B89" s="173" t="s">
        <v>33</v>
      </c>
      <c r="C89" s="173"/>
      <c r="D89" s="251" t="s">
        <v>60</v>
      </c>
      <c r="E89" s="179"/>
      <c r="F89" s="175">
        <f>F9</f>
        <v>397.42999999999995</v>
      </c>
      <c r="G89" s="167"/>
      <c r="H89" s="213"/>
      <c r="I89" s="163"/>
      <c r="J89" s="202">
        <f>F89*H89</f>
        <v>0</v>
      </c>
      <c r="K89" s="242"/>
    </row>
    <row r="90" spans="1:11">
      <c r="A90" s="172"/>
      <c r="B90" s="173"/>
      <c r="C90" s="173"/>
      <c r="D90" s="179"/>
      <c r="E90" s="179"/>
      <c r="F90" s="170"/>
      <c r="G90" s="171"/>
      <c r="H90" s="150"/>
      <c r="I90" s="163"/>
      <c r="J90" s="198"/>
      <c r="K90" s="242"/>
    </row>
    <row r="91" spans="1:11">
      <c r="A91" s="172" t="s">
        <v>63</v>
      </c>
      <c r="B91" s="173" t="s">
        <v>34</v>
      </c>
      <c r="C91" s="173"/>
      <c r="D91" s="251" t="s">
        <v>190</v>
      </c>
      <c r="E91" s="179"/>
      <c r="F91" s="175">
        <v>11</v>
      </c>
      <c r="G91" s="167"/>
      <c r="H91" s="213"/>
      <c r="I91" s="163"/>
      <c r="J91" s="202">
        <f>F91*H91</f>
        <v>0</v>
      </c>
      <c r="K91" s="242"/>
    </row>
    <row r="92" spans="1:11">
      <c r="A92" s="172"/>
      <c r="B92" s="173"/>
      <c r="C92" s="173"/>
      <c r="D92" s="179"/>
      <c r="E92" s="179"/>
      <c r="F92" s="170"/>
      <c r="G92" s="171"/>
      <c r="H92" s="150"/>
      <c r="I92" s="163"/>
      <c r="J92" s="198"/>
      <c r="K92" s="242"/>
    </row>
    <row r="93" spans="1:11" ht="25.5">
      <c r="A93" s="172" t="s">
        <v>67</v>
      </c>
      <c r="B93" s="173" t="s">
        <v>35</v>
      </c>
      <c r="C93" s="173"/>
      <c r="D93" s="251" t="s">
        <v>60</v>
      </c>
      <c r="E93" s="179"/>
      <c r="F93" s="175">
        <f>F9</f>
        <v>397.42999999999995</v>
      </c>
      <c r="G93" s="167"/>
      <c r="H93" s="213"/>
      <c r="I93" s="163"/>
      <c r="J93" s="202">
        <f>F93*H93</f>
        <v>0</v>
      </c>
      <c r="K93" s="242"/>
    </row>
    <row r="94" spans="1:11">
      <c r="A94" s="172"/>
      <c r="B94" s="173"/>
      <c r="C94" s="173"/>
      <c r="D94" s="179"/>
      <c r="E94" s="179"/>
      <c r="F94" s="170"/>
      <c r="G94" s="171"/>
      <c r="H94" s="150"/>
      <c r="I94" s="163"/>
      <c r="J94" s="198"/>
      <c r="K94" s="242"/>
    </row>
    <row r="95" spans="1:11" ht="13.5" thickBot="1">
      <c r="A95" s="183"/>
      <c r="B95" s="252" t="s">
        <v>36</v>
      </c>
      <c r="C95" s="252"/>
      <c r="D95" s="253"/>
      <c r="E95" s="253"/>
      <c r="F95" s="234"/>
      <c r="G95" s="235"/>
      <c r="H95" s="254"/>
      <c r="I95" s="236"/>
      <c r="J95" s="189">
        <f>SUM(J87:J93)</f>
        <v>0</v>
      </c>
      <c r="K95" s="242"/>
    </row>
    <row r="96" spans="1:11" ht="13.5" thickTop="1">
      <c r="A96" s="190"/>
      <c r="B96" s="255"/>
      <c r="C96" s="255"/>
      <c r="D96" s="256"/>
      <c r="E96" s="256"/>
      <c r="F96" s="166"/>
      <c r="G96" s="167"/>
      <c r="H96" s="168"/>
      <c r="I96" s="169"/>
      <c r="J96" s="194"/>
      <c r="K96" s="242"/>
    </row>
    <row r="97" spans="1:18">
      <c r="A97" s="190"/>
      <c r="B97" s="255"/>
      <c r="C97" s="255"/>
      <c r="D97" s="256"/>
      <c r="E97" s="256"/>
      <c r="F97" s="166"/>
      <c r="G97" s="167"/>
      <c r="H97" s="168"/>
      <c r="I97" s="169"/>
      <c r="J97" s="194"/>
      <c r="K97" s="242"/>
    </row>
    <row r="98" spans="1:18">
      <c r="A98" s="190"/>
      <c r="B98" s="255"/>
      <c r="C98" s="255"/>
      <c r="D98" s="256"/>
      <c r="E98" s="256"/>
      <c r="F98" s="166"/>
      <c r="G98" s="167"/>
      <c r="H98" s="150"/>
      <c r="I98" s="163"/>
      <c r="J98" s="198"/>
      <c r="K98" s="242"/>
    </row>
    <row r="99" spans="1:18">
      <c r="A99" s="190"/>
      <c r="B99" s="255"/>
      <c r="C99" s="255"/>
      <c r="D99" s="256"/>
      <c r="E99" s="256"/>
      <c r="F99" s="166"/>
      <c r="G99" s="167"/>
      <c r="H99" s="150"/>
      <c r="I99" s="163"/>
      <c r="J99" s="198"/>
      <c r="K99" s="242"/>
    </row>
    <row r="100" spans="1:18">
      <c r="A100" s="190"/>
      <c r="B100" s="255"/>
      <c r="C100" s="255"/>
      <c r="D100" s="256"/>
      <c r="E100" s="256"/>
      <c r="F100" s="166"/>
      <c r="G100" s="167"/>
      <c r="H100" s="150"/>
      <c r="I100" s="163"/>
      <c r="J100" s="198"/>
      <c r="K100" s="242"/>
    </row>
    <row r="101" spans="1:18">
      <c r="A101" s="190"/>
      <c r="B101" s="255"/>
      <c r="C101" s="255"/>
      <c r="D101" s="256"/>
      <c r="E101" s="256"/>
      <c r="F101" s="166"/>
      <c r="G101" s="167"/>
      <c r="H101" s="150"/>
      <c r="I101" s="163"/>
      <c r="J101" s="198"/>
      <c r="K101" s="242"/>
    </row>
    <row r="102" spans="1:18">
      <c r="A102" s="190"/>
      <c r="B102" s="255"/>
      <c r="C102" s="255"/>
      <c r="D102" s="256"/>
      <c r="E102" s="256"/>
      <c r="F102" s="166"/>
      <c r="G102" s="167"/>
      <c r="H102" s="150"/>
      <c r="I102" s="163"/>
      <c r="J102" s="198"/>
      <c r="K102" s="242"/>
    </row>
    <row r="103" spans="1:18">
      <c r="A103" s="190"/>
      <c r="B103" s="255"/>
      <c r="C103" s="255"/>
      <c r="D103" s="256"/>
      <c r="E103" s="256"/>
      <c r="F103" s="166"/>
      <c r="G103" s="167"/>
      <c r="H103" s="150"/>
      <c r="I103" s="163"/>
      <c r="J103" s="198"/>
      <c r="K103" s="242"/>
    </row>
    <row r="104" spans="1:18">
      <c r="A104" s="190"/>
      <c r="B104" s="255"/>
      <c r="C104" s="255"/>
      <c r="D104" s="256"/>
      <c r="E104" s="256"/>
      <c r="F104" s="166"/>
      <c r="G104" s="167"/>
      <c r="H104" s="150"/>
      <c r="I104" s="163"/>
      <c r="J104" s="198"/>
      <c r="K104" s="242"/>
    </row>
    <row r="105" spans="1:18">
      <c r="A105" s="172"/>
      <c r="B105" s="258"/>
      <c r="C105" s="258"/>
      <c r="D105" s="257"/>
      <c r="E105" s="257"/>
      <c r="F105" s="170"/>
      <c r="G105" s="171"/>
      <c r="H105" s="150"/>
      <c r="I105" s="163"/>
      <c r="J105" s="198"/>
      <c r="K105" s="242"/>
    </row>
    <row r="106" spans="1:18">
      <c r="B106" s="242"/>
      <c r="C106" s="242"/>
      <c r="D106" s="242"/>
      <c r="E106" s="242"/>
      <c r="F106" s="206"/>
      <c r="G106" s="242"/>
      <c r="H106" s="260"/>
      <c r="I106" s="261"/>
      <c r="J106" s="262"/>
      <c r="K106" s="242"/>
    </row>
    <row r="107" spans="1:18">
      <c r="B107" s="242"/>
      <c r="C107" s="242"/>
      <c r="D107" s="242"/>
      <c r="E107" s="242"/>
      <c r="F107" s="206"/>
      <c r="G107" s="242"/>
      <c r="H107" s="260"/>
      <c r="I107" s="261"/>
      <c r="J107" s="262"/>
      <c r="K107" s="242"/>
    </row>
    <row r="108" spans="1:18">
      <c r="B108" s="242"/>
      <c r="C108" s="242"/>
      <c r="D108" s="242"/>
      <c r="E108" s="242"/>
      <c r="F108" s="206"/>
      <c r="G108" s="242"/>
      <c r="H108" s="260"/>
      <c r="I108" s="261"/>
      <c r="J108" s="262"/>
      <c r="K108" s="242"/>
    </row>
    <row r="109" spans="1:18">
      <c r="B109" s="242"/>
      <c r="C109" s="242"/>
      <c r="D109" s="242"/>
      <c r="E109" s="242"/>
      <c r="F109" s="206"/>
      <c r="G109" s="242"/>
      <c r="H109" s="260"/>
      <c r="I109" s="261"/>
      <c r="J109" s="262"/>
      <c r="K109" s="242"/>
    </row>
    <row r="110" spans="1:18">
      <c r="B110" s="242"/>
      <c r="C110" s="242"/>
      <c r="D110" s="242"/>
      <c r="E110" s="242"/>
      <c r="F110" s="206"/>
      <c r="G110" s="242"/>
      <c r="H110" s="260"/>
      <c r="I110" s="261"/>
      <c r="J110" s="262"/>
      <c r="K110" s="242"/>
      <c r="Q110" s="259"/>
      <c r="R110" s="259"/>
    </row>
    <row r="111" spans="1:18">
      <c r="B111" s="242"/>
      <c r="C111" s="242"/>
      <c r="D111" s="242"/>
      <c r="E111" s="242"/>
      <c r="F111" s="206"/>
      <c r="G111" s="242"/>
      <c r="H111" s="260"/>
      <c r="I111" s="261"/>
      <c r="J111" s="262"/>
      <c r="K111" s="242"/>
      <c r="Q111" s="259"/>
      <c r="R111" s="259"/>
    </row>
    <row r="112" spans="1:18">
      <c r="B112" s="242"/>
      <c r="C112" s="242"/>
      <c r="D112" s="242"/>
      <c r="E112" s="242"/>
      <c r="F112" s="206"/>
      <c r="G112" s="242"/>
      <c r="H112" s="260"/>
      <c r="I112" s="261"/>
      <c r="J112" s="262"/>
      <c r="K112" s="242"/>
      <c r="Q112" s="259"/>
      <c r="R112" s="259"/>
    </row>
    <row r="113" spans="2:18">
      <c r="B113" s="242"/>
      <c r="C113" s="242"/>
      <c r="D113" s="242"/>
      <c r="E113" s="242"/>
      <c r="F113" s="206"/>
      <c r="G113" s="242"/>
      <c r="H113" s="260"/>
      <c r="I113" s="261"/>
      <c r="J113" s="262"/>
      <c r="K113" s="242"/>
      <c r="Q113" s="259"/>
      <c r="R113" s="259"/>
    </row>
    <row r="114" spans="2:18">
      <c r="B114" s="242"/>
      <c r="C114" s="242"/>
      <c r="D114" s="242"/>
      <c r="E114" s="242"/>
      <c r="F114" s="206"/>
      <c r="G114" s="242"/>
      <c r="H114" s="260"/>
      <c r="I114" s="261"/>
      <c r="J114" s="262"/>
      <c r="K114" s="242"/>
      <c r="Q114" s="259"/>
      <c r="R114" s="259"/>
    </row>
    <row r="115" spans="2:18">
      <c r="B115" s="242"/>
      <c r="C115" s="242"/>
      <c r="D115" s="242"/>
      <c r="E115" s="242"/>
      <c r="F115" s="206"/>
      <c r="G115" s="242"/>
      <c r="H115" s="260"/>
      <c r="I115" s="261"/>
      <c r="J115" s="262"/>
      <c r="K115" s="242"/>
      <c r="Q115" s="259"/>
      <c r="R115" s="259"/>
    </row>
    <row r="116" spans="2:18">
      <c r="B116" s="242"/>
      <c r="C116" s="242"/>
      <c r="D116" s="242"/>
      <c r="E116" s="242"/>
      <c r="F116" s="206"/>
      <c r="G116" s="242"/>
      <c r="H116" s="260"/>
      <c r="I116" s="261"/>
      <c r="J116" s="262"/>
      <c r="K116" s="242"/>
      <c r="Q116" s="259"/>
      <c r="R116" s="259"/>
    </row>
    <row r="117" spans="2:18">
      <c r="B117" s="242"/>
      <c r="C117" s="242"/>
      <c r="D117" s="242"/>
      <c r="E117" s="242"/>
      <c r="F117" s="206"/>
      <c r="G117" s="242"/>
      <c r="H117" s="260"/>
      <c r="I117" s="261"/>
      <c r="J117" s="262"/>
      <c r="K117" s="242"/>
      <c r="Q117" s="259"/>
      <c r="R117" s="259"/>
    </row>
    <row r="118" spans="2:18">
      <c r="B118" s="242"/>
      <c r="C118" s="242"/>
      <c r="D118" s="242"/>
      <c r="E118" s="242"/>
      <c r="F118" s="206"/>
      <c r="G118" s="242"/>
      <c r="H118" s="260"/>
      <c r="I118" s="261"/>
      <c r="J118" s="262"/>
      <c r="K118" s="242"/>
      <c r="Q118" s="259"/>
      <c r="R118" s="259"/>
    </row>
    <row r="119" spans="2:18">
      <c r="B119" s="242"/>
      <c r="C119" s="242"/>
      <c r="D119" s="242"/>
      <c r="E119" s="242"/>
      <c r="F119" s="206"/>
      <c r="G119" s="242"/>
      <c r="H119" s="260"/>
      <c r="I119" s="261"/>
      <c r="J119" s="262"/>
      <c r="K119" s="242"/>
      <c r="Q119" s="259"/>
      <c r="R119" s="259"/>
    </row>
    <row r="120" spans="2:18">
      <c r="B120" s="242"/>
      <c r="C120" s="242"/>
      <c r="D120" s="242"/>
      <c r="E120" s="242"/>
      <c r="F120" s="206"/>
      <c r="G120" s="242"/>
      <c r="H120" s="260"/>
      <c r="I120" s="261"/>
      <c r="J120" s="262"/>
      <c r="K120" s="263"/>
      <c r="L120" s="263"/>
      <c r="M120" s="264"/>
      <c r="Q120" s="259"/>
      <c r="R120" s="259"/>
    </row>
    <row r="121" spans="2:18">
      <c r="B121" s="242"/>
      <c r="C121" s="242"/>
      <c r="D121" s="242"/>
      <c r="E121" s="242"/>
      <c r="F121" s="206"/>
      <c r="G121" s="242"/>
      <c r="H121" s="260"/>
      <c r="I121" s="261"/>
      <c r="J121" s="262"/>
      <c r="K121" s="265"/>
      <c r="L121" s="265"/>
      <c r="M121" s="264"/>
    </row>
    <row r="122" spans="2:18">
      <c r="B122" s="242"/>
      <c r="C122" s="242"/>
      <c r="D122" s="242"/>
      <c r="E122" s="242"/>
      <c r="F122" s="206"/>
      <c r="G122" s="242"/>
      <c r="H122" s="260"/>
      <c r="I122" s="261"/>
      <c r="J122" s="262"/>
      <c r="K122" s="261"/>
      <c r="L122" s="261"/>
      <c r="M122" s="264"/>
    </row>
    <row r="123" spans="2:18">
      <c r="B123" s="242"/>
      <c r="C123" s="242"/>
      <c r="D123" s="242"/>
      <c r="E123" s="242"/>
      <c r="F123" s="206"/>
      <c r="G123" s="242"/>
      <c r="H123" s="260"/>
      <c r="I123" s="261"/>
      <c r="J123" s="262"/>
      <c r="K123" s="242"/>
    </row>
    <row r="124" spans="2:18">
      <c r="B124" s="242"/>
      <c r="C124" s="242"/>
      <c r="D124" s="242"/>
      <c r="E124" s="242"/>
      <c r="F124" s="206"/>
      <c r="G124" s="242"/>
      <c r="H124" s="260"/>
      <c r="I124" s="261"/>
      <c r="J124" s="262"/>
      <c r="K124" s="242"/>
    </row>
    <row r="125" spans="2:18">
      <c r="B125" s="242"/>
      <c r="C125" s="242"/>
      <c r="D125" s="242"/>
      <c r="E125" s="242"/>
      <c r="F125" s="206"/>
      <c r="G125" s="242"/>
      <c r="H125" s="260"/>
      <c r="I125" s="261"/>
      <c r="J125" s="262"/>
      <c r="K125" s="242"/>
    </row>
    <row r="126" spans="2:18">
      <c r="B126" s="242"/>
      <c r="C126" s="242"/>
      <c r="D126" s="242"/>
      <c r="E126" s="242"/>
      <c r="F126" s="206"/>
      <c r="G126" s="242"/>
      <c r="H126" s="260"/>
      <c r="I126" s="261"/>
      <c r="J126" s="262"/>
      <c r="K126" s="242"/>
    </row>
    <row r="127" spans="2:18">
      <c r="B127" s="242"/>
      <c r="C127" s="242"/>
      <c r="D127" s="242"/>
      <c r="E127" s="242"/>
      <c r="F127" s="206"/>
      <c r="G127" s="242"/>
      <c r="H127" s="260"/>
      <c r="I127" s="261"/>
      <c r="J127" s="262"/>
      <c r="K127" s="242"/>
    </row>
    <row r="128" spans="2:18">
      <c r="B128" s="242"/>
      <c r="C128" s="242"/>
      <c r="D128" s="242"/>
      <c r="E128" s="242"/>
      <c r="F128" s="206"/>
      <c r="G128" s="242"/>
      <c r="H128" s="260"/>
      <c r="I128" s="261"/>
      <c r="J128" s="262"/>
      <c r="K128" s="242"/>
    </row>
    <row r="129" spans="2:11">
      <c r="B129" s="242"/>
      <c r="C129" s="242"/>
      <c r="D129" s="242"/>
      <c r="E129" s="242"/>
      <c r="F129" s="206"/>
      <c r="G129" s="242"/>
      <c r="H129" s="260"/>
      <c r="I129" s="261"/>
      <c r="J129" s="262"/>
      <c r="K129" s="242"/>
    </row>
    <row r="130" spans="2:11">
      <c r="B130" s="242"/>
      <c r="C130" s="242"/>
      <c r="D130" s="242"/>
      <c r="E130" s="242"/>
      <c r="F130" s="206"/>
      <c r="G130" s="242"/>
      <c r="H130" s="260"/>
      <c r="I130" s="261"/>
      <c r="J130" s="262"/>
      <c r="K130" s="242"/>
    </row>
    <row r="131" spans="2:11">
      <c r="B131" s="242"/>
      <c r="C131" s="242"/>
      <c r="D131" s="242"/>
      <c r="E131" s="242"/>
      <c r="F131" s="206"/>
      <c r="G131" s="242"/>
      <c r="H131" s="260"/>
      <c r="I131" s="261"/>
      <c r="J131" s="262"/>
      <c r="K131" s="242"/>
    </row>
    <row r="132" spans="2:11">
      <c r="B132" s="242"/>
      <c r="C132" s="242"/>
      <c r="D132" s="242"/>
      <c r="E132" s="242"/>
      <c r="F132" s="206"/>
      <c r="G132" s="242"/>
      <c r="H132" s="260"/>
      <c r="I132" s="261"/>
      <c r="J132" s="262"/>
      <c r="K132" s="242"/>
    </row>
    <row r="133" spans="2:11">
      <c r="B133" s="242"/>
      <c r="C133" s="242"/>
      <c r="D133" s="242"/>
      <c r="E133" s="242"/>
      <c r="F133" s="206"/>
      <c r="G133" s="242"/>
      <c r="H133" s="260"/>
      <c r="I133" s="261"/>
      <c r="J133" s="262"/>
      <c r="K133" s="242"/>
    </row>
    <row r="134" spans="2:11">
      <c r="B134" s="242"/>
      <c r="C134" s="242"/>
      <c r="D134" s="242"/>
      <c r="E134" s="242"/>
      <c r="F134" s="206"/>
      <c r="G134" s="242"/>
      <c r="H134" s="260"/>
      <c r="I134" s="261"/>
      <c r="J134" s="262"/>
      <c r="K134" s="242"/>
    </row>
    <row r="135" spans="2:11">
      <c r="B135" s="242"/>
      <c r="C135" s="242"/>
      <c r="D135" s="242"/>
      <c r="E135" s="242"/>
      <c r="F135" s="206"/>
      <c r="G135" s="242"/>
      <c r="H135" s="260"/>
      <c r="I135" s="261"/>
      <c r="J135" s="262"/>
      <c r="K135" s="242"/>
    </row>
    <row r="136" spans="2:11">
      <c r="B136" s="242"/>
      <c r="C136" s="242"/>
      <c r="D136" s="242"/>
      <c r="E136" s="242"/>
      <c r="F136" s="206"/>
      <c r="G136" s="242"/>
      <c r="H136" s="260"/>
      <c r="I136" s="261"/>
      <c r="J136" s="262"/>
      <c r="K136" s="242"/>
    </row>
    <row r="137" spans="2:11">
      <c r="B137" s="242"/>
      <c r="C137" s="242"/>
      <c r="D137" s="242"/>
      <c r="E137" s="242"/>
      <c r="F137" s="206"/>
      <c r="G137" s="242"/>
      <c r="H137" s="260"/>
      <c r="I137" s="261"/>
      <c r="J137" s="262"/>
      <c r="K137" s="242"/>
    </row>
    <row r="138" spans="2:11">
      <c r="B138" s="242"/>
      <c r="C138" s="242"/>
      <c r="D138" s="242"/>
      <c r="E138" s="242"/>
      <c r="F138" s="206"/>
      <c r="G138" s="242"/>
      <c r="H138" s="260"/>
      <c r="I138" s="261"/>
      <c r="J138" s="262"/>
      <c r="K138" s="242"/>
    </row>
    <row r="139" spans="2:11">
      <c r="B139" s="242"/>
      <c r="C139" s="242"/>
      <c r="D139" s="242"/>
      <c r="E139" s="242"/>
      <c r="F139" s="206"/>
      <c r="G139" s="242"/>
      <c r="H139" s="260"/>
      <c r="I139" s="261"/>
      <c r="J139" s="262"/>
      <c r="K139" s="242"/>
    </row>
    <row r="140" spans="2:11">
      <c r="B140" s="242"/>
      <c r="C140" s="242"/>
      <c r="D140" s="242"/>
      <c r="E140" s="242"/>
      <c r="F140" s="206"/>
      <c r="G140" s="242"/>
      <c r="H140" s="260"/>
      <c r="I140" s="261"/>
      <c r="J140" s="262"/>
      <c r="K140" s="242"/>
    </row>
    <row r="141" spans="2:11">
      <c r="B141" s="242"/>
      <c r="C141" s="242"/>
      <c r="D141" s="242"/>
      <c r="E141" s="242"/>
      <c r="F141" s="206"/>
      <c r="G141" s="242"/>
      <c r="H141" s="260"/>
      <c r="I141" s="261"/>
      <c r="J141" s="262"/>
      <c r="K141" s="242"/>
    </row>
    <row r="142" spans="2:11">
      <c r="B142" s="242"/>
      <c r="C142" s="242"/>
      <c r="D142" s="242"/>
      <c r="E142" s="242"/>
      <c r="F142" s="206"/>
      <c r="G142" s="242"/>
      <c r="H142" s="260"/>
      <c r="I142" s="261"/>
      <c r="J142" s="262"/>
      <c r="K142" s="242"/>
    </row>
    <row r="143" spans="2:11">
      <c r="B143" s="242"/>
      <c r="C143" s="242"/>
      <c r="D143" s="242"/>
      <c r="E143" s="242"/>
      <c r="F143" s="206"/>
      <c r="G143" s="242"/>
      <c r="H143" s="260"/>
      <c r="I143" s="261"/>
      <c r="J143" s="262"/>
      <c r="K143" s="242"/>
    </row>
    <row r="144" spans="2:11">
      <c r="B144" s="242"/>
      <c r="C144" s="242"/>
      <c r="D144" s="242"/>
      <c r="E144" s="242"/>
      <c r="F144" s="206"/>
      <c r="G144" s="242"/>
      <c r="H144" s="260"/>
      <c r="I144" s="261"/>
      <c r="J144" s="262"/>
      <c r="K144" s="242"/>
    </row>
    <row r="145" spans="4:11">
      <c r="D145" s="242"/>
      <c r="E145" s="242"/>
      <c r="F145" s="206"/>
      <c r="G145" s="242"/>
      <c r="H145" s="260"/>
      <c r="I145" s="261"/>
      <c r="J145" s="262"/>
      <c r="K145" s="242"/>
    </row>
    <row r="146" spans="4:11">
      <c r="D146" s="242"/>
      <c r="E146" s="242"/>
      <c r="F146" s="206"/>
      <c r="G146" s="242"/>
      <c r="H146" s="260"/>
      <c r="I146" s="261"/>
      <c r="J146" s="262"/>
      <c r="K146" s="242"/>
    </row>
    <row r="147" spans="4:11">
      <c r="D147" s="242"/>
      <c r="E147" s="242"/>
      <c r="F147" s="206"/>
      <c r="G147" s="242"/>
      <c r="H147" s="260"/>
      <c r="I147" s="261"/>
      <c r="J147" s="262"/>
      <c r="K147" s="242"/>
    </row>
    <row r="148" spans="4:11">
      <c r="D148" s="242"/>
      <c r="E148" s="242"/>
      <c r="F148" s="206"/>
      <c r="G148" s="242"/>
      <c r="H148" s="260"/>
      <c r="I148" s="261"/>
      <c r="J148" s="262"/>
      <c r="K148" s="242"/>
    </row>
    <row r="149" spans="4:11">
      <c r="D149" s="242"/>
      <c r="E149" s="242"/>
      <c r="F149" s="206"/>
      <c r="G149" s="242"/>
      <c r="H149" s="260"/>
      <c r="I149" s="261"/>
      <c r="J149" s="262"/>
      <c r="K149" s="242"/>
    </row>
    <row r="150" spans="4:11">
      <c r="D150" s="242"/>
      <c r="E150" s="242"/>
      <c r="F150" s="206"/>
      <c r="G150" s="242"/>
      <c r="H150" s="260"/>
      <c r="I150" s="261"/>
      <c r="J150" s="262"/>
      <c r="K150" s="242"/>
    </row>
    <row r="151" spans="4:11">
      <c r="D151" s="242"/>
      <c r="E151" s="242"/>
      <c r="F151" s="206"/>
      <c r="G151" s="242"/>
      <c r="H151" s="260"/>
      <c r="I151" s="261"/>
      <c r="J151" s="262"/>
      <c r="K151" s="242"/>
    </row>
    <row r="152" spans="4:11">
      <c r="D152" s="242"/>
      <c r="E152" s="242"/>
      <c r="F152" s="206"/>
      <c r="G152" s="242"/>
      <c r="H152" s="260"/>
      <c r="I152" s="261"/>
      <c r="J152" s="262"/>
      <c r="K152" s="242"/>
    </row>
    <row r="153" spans="4:11">
      <c r="D153" s="242"/>
      <c r="E153" s="242"/>
      <c r="F153" s="206"/>
      <c r="G153" s="242"/>
      <c r="H153" s="260"/>
      <c r="I153" s="261"/>
      <c r="J153" s="262"/>
      <c r="K153" s="242"/>
    </row>
    <row r="154" spans="4:11">
      <c r="D154" s="242"/>
      <c r="E154" s="242"/>
      <c r="F154" s="206"/>
      <c r="G154" s="242"/>
      <c r="H154" s="260"/>
      <c r="I154" s="261"/>
      <c r="J154" s="262"/>
      <c r="K154" s="242"/>
    </row>
    <row r="155" spans="4:11">
      <c r="D155" s="242"/>
      <c r="E155" s="242"/>
      <c r="F155" s="206"/>
      <c r="G155" s="242"/>
      <c r="H155" s="260"/>
      <c r="I155" s="261"/>
      <c r="J155" s="262"/>
      <c r="K155" s="242"/>
    </row>
    <row r="156" spans="4:11">
      <c r="D156" s="242"/>
      <c r="E156" s="242"/>
      <c r="F156" s="206"/>
      <c r="G156" s="242"/>
      <c r="H156" s="260"/>
      <c r="I156" s="261"/>
      <c r="J156" s="262"/>
      <c r="K156" s="242"/>
    </row>
    <row r="157" spans="4:11">
      <c r="D157" s="242"/>
      <c r="E157" s="242"/>
      <c r="F157" s="206"/>
      <c r="G157" s="242"/>
      <c r="H157" s="260"/>
      <c r="I157" s="261"/>
      <c r="J157" s="262"/>
      <c r="K157" s="242"/>
    </row>
    <row r="158" spans="4:11">
      <c r="D158" s="242"/>
      <c r="E158" s="242"/>
      <c r="F158" s="206"/>
      <c r="G158" s="242"/>
      <c r="H158" s="260"/>
      <c r="I158" s="261"/>
      <c r="J158" s="262"/>
      <c r="K158" s="242"/>
    </row>
    <row r="159" spans="4:11">
      <c r="D159" s="242"/>
      <c r="E159" s="242"/>
      <c r="F159" s="206"/>
      <c r="G159" s="242"/>
      <c r="H159" s="260"/>
      <c r="I159" s="261"/>
      <c r="J159" s="262"/>
      <c r="K159" s="242"/>
    </row>
    <row r="160" spans="4:11">
      <c r="D160" s="242"/>
      <c r="E160" s="242"/>
      <c r="F160" s="206"/>
      <c r="G160" s="242"/>
      <c r="H160" s="260"/>
      <c r="I160" s="261"/>
      <c r="J160" s="262"/>
      <c r="K160" s="242"/>
    </row>
    <row r="161" spans="4:11">
      <c r="D161" s="242"/>
      <c r="E161" s="242"/>
      <c r="F161" s="206"/>
      <c r="G161" s="242"/>
      <c r="H161" s="260"/>
      <c r="I161" s="261"/>
      <c r="J161" s="262"/>
      <c r="K161" s="242"/>
    </row>
    <row r="162" spans="4:11">
      <c r="D162" s="242"/>
      <c r="E162" s="242"/>
      <c r="F162" s="206"/>
      <c r="G162" s="242"/>
      <c r="H162" s="260"/>
      <c r="I162" s="261"/>
      <c r="J162" s="262"/>
    </row>
    <row r="163" spans="4:11">
      <c r="D163" s="242"/>
      <c r="E163" s="242"/>
      <c r="F163" s="206"/>
      <c r="G163" s="242"/>
      <c r="H163" s="260"/>
      <c r="I163" s="261"/>
      <c r="J163" s="262"/>
    </row>
    <row r="164" spans="4:11">
      <c r="D164" s="242"/>
      <c r="E164" s="242"/>
      <c r="F164" s="206"/>
      <c r="G164" s="242"/>
      <c r="H164" s="260"/>
      <c r="I164" s="261"/>
      <c r="J164" s="262"/>
    </row>
    <row r="165" spans="4:11">
      <c r="D165" s="242"/>
      <c r="E165" s="242"/>
      <c r="F165" s="206"/>
      <c r="G165" s="242"/>
      <c r="H165" s="260"/>
      <c r="I165" s="261"/>
      <c r="J165" s="262"/>
    </row>
    <row r="166" spans="4:11">
      <c r="D166" s="242"/>
      <c r="E166" s="242"/>
      <c r="F166" s="206"/>
      <c r="G166" s="242"/>
      <c r="H166" s="260"/>
      <c r="I166" s="261"/>
      <c r="J166" s="262"/>
    </row>
    <row r="167" spans="4:11">
      <c r="D167" s="242"/>
      <c r="E167" s="242"/>
      <c r="F167" s="206"/>
      <c r="G167" s="242"/>
      <c r="H167" s="260"/>
      <c r="I167" s="261"/>
      <c r="J167" s="262"/>
    </row>
    <row r="168" spans="4:11">
      <c r="D168" s="242"/>
      <c r="E168" s="242"/>
      <c r="F168" s="206"/>
      <c r="G168" s="242"/>
      <c r="H168" s="260"/>
      <c r="I168" s="261"/>
      <c r="J168" s="262"/>
    </row>
    <row r="169" spans="4:11">
      <c r="D169" s="242"/>
      <c r="E169" s="242"/>
      <c r="F169" s="206"/>
      <c r="G169" s="242"/>
      <c r="H169" s="260"/>
      <c r="I169" s="266"/>
      <c r="J169" s="262"/>
    </row>
    <row r="170" spans="4:11">
      <c r="D170" s="242"/>
      <c r="E170" s="242"/>
      <c r="F170" s="206"/>
      <c r="G170" s="242"/>
      <c r="H170" s="260"/>
      <c r="I170" s="266"/>
      <c r="J170" s="262"/>
    </row>
    <row r="171" spans="4:11">
      <c r="D171" s="242"/>
      <c r="E171" s="242"/>
      <c r="F171" s="206"/>
      <c r="G171" s="242"/>
      <c r="H171" s="260"/>
      <c r="I171" s="266"/>
      <c r="J171" s="262"/>
    </row>
    <row r="172" spans="4:11">
      <c r="D172" s="242"/>
      <c r="E172" s="242"/>
      <c r="F172" s="206"/>
      <c r="G172" s="242"/>
      <c r="H172" s="260"/>
      <c r="I172" s="266"/>
      <c r="J172" s="262"/>
    </row>
    <row r="173" spans="4:11">
      <c r="D173" s="242"/>
      <c r="E173" s="242"/>
      <c r="F173" s="206"/>
      <c r="G173" s="242"/>
      <c r="H173" s="260"/>
      <c r="I173" s="266"/>
      <c r="J173" s="262"/>
    </row>
    <row r="174" spans="4:11">
      <c r="D174" s="242"/>
      <c r="E174" s="242"/>
      <c r="F174" s="206"/>
      <c r="G174" s="242"/>
      <c r="H174" s="260"/>
      <c r="I174" s="266"/>
      <c r="J174" s="262"/>
    </row>
    <row r="175" spans="4:11">
      <c r="D175" s="242"/>
      <c r="E175" s="242"/>
      <c r="F175" s="206"/>
      <c r="G175" s="242"/>
      <c r="H175" s="260"/>
      <c r="I175" s="266"/>
      <c r="J175" s="262"/>
    </row>
    <row r="176" spans="4:11">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62"/>
    </row>
    <row r="184" spans="4:10">
      <c r="D184" s="242"/>
      <c r="E184" s="242"/>
      <c r="F184" s="206"/>
      <c r="G184" s="242"/>
      <c r="H184" s="260"/>
      <c r="I184" s="266"/>
      <c r="J184" s="262"/>
    </row>
    <row r="185" spans="4:10">
      <c r="D185" s="242"/>
      <c r="E185" s="242"/>
      <c r="F185" s="206"/>
      <c r="G185" s="242"/>
      <c r="H185" s="260"/>
      <c r="I185" s="266"/>
      <c r="J185" s="262"/>
    </row>
    <row r="186" spans="4:10">
      <c r="D186" s="242"/>
      <c r="E186" s="242"/>
      <c r="F186" s="206"/>
      <c r="G186" s="242"/>
      <c r="H186" s="260"/>
      <c r="I186" s="266"/>
      <c r="J186" s="262"/>
    </row>
    <row r="187" spans="4:10">
      <c r="D187" s="242"/>
      <c r="E187" s="242"/>
      <c r="F187" s="206"/>
      <c r="G187" s="242"/>
      <c r="H187" s="260"/>
      <c r="I187" s="266"/>
      <c r="J187" s="262"/>
    </row>
    <row r="188" spans="4:10">
      <c r="D188" s="242"/>
      <c r="E188" s="242"/>
      <c r="F188" s="206"/>
      <c r="G188" s="242"/>
      <c r="H188" s="260"/>
      <c r="I188" s="266"/>
      <c r="J188" s="262"/>
    </row>
    <row r="189" spans="4:10">
      <c r="D189" s="242"/>
      <c r="E189" s="242"/>
      <c r="F189" s="206"/>
      <c r="G189" s="242"/>
      <c r="H189" s="260"/>
      <c r="I189" s="266"/>
      <c r="J189" s="262"/>
    </row>
    <row r="190" spans="4:10">
      <c r="D190" s="242"/>
      <c r="E190" s="242"/>
      <c r="F190" s="206"/>
      <c r="G190" s="242"/>
      <c r="H190" s="260"/>
      <c r="I190" s="266"/>
      <c r="J190" s="262"/>
    </row>
    <row r="191" spans="4:10">
      <c r="D191" s="242"/>
      <c r="E191" s="242"/>
      <c r="F191" s="206"/>
      <c r="G191" s="242"/>
      <c r="H191" s="260"/>
      <c r="I191" s="266"/>
      <c r="J191" s="262"/>
    </row>
    <row r="192" spans="4:10">
      <c r="D192" s="242"/>
      <c r="E192" s="242"/>
      <c r="F192" s="206"/>
      <c r="G192" s="242"/>
      <c r="H192" s="260"/>
      <c r="I192" s="266"/>
      <c r="J192" s="262"/>
    </row>
    <row r="193" spans="4:10">
      <c r="D193" s="242"/>
      <c r="E193" s="242"/>
      <c r="F193" s="206"/>
      <c r="G193" s="242"/>
      <c r="H193" s="260"/>
      <c r="I193" s="266"/>
      <c r="J193" s="262"/>
    </row>
    <row r="194" spans="4:10">
      <c r="D194" s="242"/>
      <c r="E194" s="242"/>
      <c r="F194" s="206"/>
      <c r="G194" s="242"/>
      <c r="H194" s="260"/>
      <c r="I194" s="266"/>
      <c r="J194" s="262"/>
    </row>
    <row r="195" spans="4:10">
      <c r="D195" s="242"/>
      <c r="E195" s="242"/>
      <c r="F195" s="206"/>
      <c r="G195" s="242"/>
      <c r="H195" s="260"/>
      <c r="I195" s="266"/>
      <c r="J195" s="262"/>
    </row>
    <row r="196" spans="4:10">
      <c r="D196" s="242"/>
      <c r="E196" s="242"/>
      <c r="F196" s="206"/>
      <c r="G196" s="242"/>
      <c r="H196" s="260"/>
      <c r="I196" s="266"/>
      <c r="J196" s="262"/>
    </row>
    <row r="197" spans="4:10">
      <c r="D197" s="242"/>
      <c r="E197" s="242"/>
      <c r="F197" s="206"/>
      <c r="G197" s="242"/>
      <c r="H197" s="260"/>
      <c r="I197" s="266"/>
      <c r="J197" s="262"/>
    </row>
    <row r="198" spans="4:10">
      <c r="D198" s="242"/>
      <c r="E198" s="242"/>
      <c r="F198" s="206"/>
      <c r="G198" s="242"/>
      <c r="H198" s="260"/>
      <c r="I198" s="266"/>
      <c r="J198" s="262"/>
    </row>
    <row r="199" spans="4:10">
      <c r="D199" s="242"/>
      <c r="E199" s="242"/>
      <c r="F199" s="206"/>
      <c r="G199" s="242"/>
      <c r="H199" s="260"/>
      <c r="I199" s="266"/>
      <c r="J199" s="262"/>
    </row>
    <row r="200" spans="4:10">
      <c r="D200" s="242"/>
      <c r="E200" s="242"/>
      <c r="F200" s="206"/>
      <c r="G200" s="242"/>
      <c r="H200" s="260"/>
      <c r="I200" s="266"/>
      <c r="J200" s="262"/>
    </row>
    <row r="201" spans="4:10">
      <c r="D201" s="242"/>
      <c r="E201" s="242"/>
      <c r="F201" s="206"/>
      <c r="G201" s="242"/>
      <c r="H201" s="260"/>
      <c r="I201" s="266"/>
      <c r="J201" s="262"/>
    </row>
    <row r="202" spans="4:10">
      <c r="D202" s="242"/>
      <c r="E202" s="242"/>
      <c r="F202" s="206"/>
      <c r="G202" s="242"/>
      <c r="H202" s="260"/>
      <c r="I202" s="266"/>
      <c r="J202" s="262"/>
    </row>
    <row r="203" spans="4:10">
      <c r="D203" s="242"/>
      <c r="E203" s="242"/>
      <c r="F203" s="206"/>
      <c r="G203" s="242"/>
      <c r="H203" s="260"/>
      <c r="I203" s="266"/>
      <c r="J203" s="262"/>
    </row>
    <row r="204" spans="4:10">
      <c r="D204" s="242"/>
      <c r="E204" s="242"/>
      <c r="F204" s="206"/>
      <c r="G204" s="242"/>
      <c r="H204" s="260"/>
      <c r="I204" s="266"/>
      <c r="J204" s="262"/>
    </row>
    <row r="205" spans="4:10">
      <c r="D205" s="242"/>
      <c r="E205" s="242"/>
      <c r="F205" s="206"/>
      <c r="G205" s="242"/>
      <c r="H205" s="260"/>
      <c r="I205" s="266"/>
      <c r="J205" s="262"/>
    </row>
    <row r="206" spans="4:10">
      <c r="D206" s="242"/>
      <c r="E206" s="242"/>
      <c r="F206" s="206"/>
      <c r="G206" s="242"/>
      <c r="H206" s="260"/>
      <c r="I206" s="266"/>
      <c r="J206" s="262"/>
    </row>
    <row r="207" spans="4:10">
      <c r="D207" s="242"/>
      <c r="E207" s="242"/>
      <c r="F207" s="206"/>
      <c r="G207" s="242"/>
      <c r="H207" s="260"/>
      <c r="I207" s="266"/>
      <c r="J207" s="262"/>
    </row>
    <row r="208" spans="4:10">
      <c r="D208" s="242"/>
      <c r="E208" s="242"/>
      <c r="F208" s="206"/>
      <c r="G208" s="242"/>
      <c r="H208" s="260"/>
      <c r="I208" s="266"/>
      <c r="J208" s="262"/>
    </row>
    <row r="209" spans="4:10">
      <c r="D209" s="242"/>
      <c r="E209" s="242"/>
      <c r="F209" s="206"/>
      <c r="G209" s="242"/>
      <c r="H209" s="260"/>
      <c r="I209" s="266"/>
      <c r="J209" s="262"/>
    </row>
    <row r="210" spans="4:10">
      <c r="D210" s="242"/>
      <c r="E210" s="242"/>
      <c r="F210" s="206"/>
      <c r="G210" s="242"/>
      <c r="H210" s="260"/>
      <c r="I210" s="266"/>
      <c r="J210" s="262"/>
    </row>
    <row r="211" spans="4:10">
      <c r="D211" s="242"/>
      <c r="E211" s="242"/>
      <c r="F211" s="206"/>
      <c r="G211" s="242"/>
      <c r="H211" s="260"/>
      <c r="I211" s="266"/>
      <c r="J211" s="262"/>
    </row>
    <row r="212" spans="4:10">
      <c r="D212" s="242"/>
      <c r="E212" s="242"/>
      <c r="F212" s="206"/>
      <c r="G212" s="242"/>
      <c r="H212" s="260"/>
      <c r="I212" s="266"/>
      <c r="J212" s="262"/>
    </row>
    <row r="213" spans="4:10">
      <c r="D213" s="242"/>
      <c r="E213" s="242"/>
      <c r="F213" s="206"/>
      <c r="G213" s="242"/>
      <c r="H213" s="260"/>
      <c r="I213" s="266"/>
      <c r="J213" s="262"/>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60"/>
      <c r="I253" s="266"/>
      <c r="J253" s="206"/>
    </row>
    <row r="254" spans="4:10">
      <c r="D254" s="242"/>
      <c r="E254" s="242"/>
      <c r="F254" s="206"/>
      <c r="G254" s="242"/>
      <c r="H254" s="260"/>
      <c r="I254" s="266"/>
      <c r="J254" s="206"/>
    </row>
    <row r="255" spans="4:10">
      <c r="D255" s="242"/>
      <c r="E255" s="242"/>
      <c r="F255" s="206"/>
      <c r="G255" s="242"/>
      <c r="H255" s="260"/>
      <c r="I255" s="266"/>
      <c r="J255" s="206"/>
    </row>
    <row r="256" spans="4:10">
      <c r="D256" s="242"/>
      <c r="E256" s="242"/>
      <c r="F256" s="206"/>
      <c r="G256" s="242"/>
      <c r="H256" s="260"/>
      <c r="I256" s="266"/>
      <c r="J256" s="206"/>
    </row>
    <row r="257" spans="4:10">
      <c r="D257" s="242"/>
      <c r="E257" s="242"/>
      <c r="F257" s="206"/>
      <c r="G257" s="242"/>
      <c r="H257" s="260"/>
      <c r="I257" s="266"/>
      <c r="J257" s="206"/>
    </row>
    <row r="258" spans="4:10">
      <c r="D258" s="242"/>
      <c r="E258" s="242"/>
      <c r="F258" s="206"/>
      <c r="G258" s="242"/>
      <c r="H258" s="260"/>
      <c r="I258" s="266"/>
      <c r="J258" s="206"/>
    </row>
    <row r="259" spans="4:10">
      <c r="D259" s="242"/>
      <c r="E259" s="242"/>
      <c r="F259" s="206"/>
      <c r="G259" s="242"/>
      <c r="H259" s="260"/>
      <c r="I259" s="266"/>
      <c r="J259" s="206"/>
    </row>
    <row r="260" spans="4:10">
      <c r="D260" s="242"/>
      <c r="E260" s="242"/>
      <c r="F260" s="206"/>
      <c r="G260" s="242"/>
      <c r="H260" s="260"/>
      <c r="I260" s="266"/>
      <c r="J260" s="206"/>
    </row>
    <row r="261" spans="4:10">
      <c r="D261" s="242"/>
      <c r="E261" s="242"/>
      <c r="F261" s="206"/>
      <c r="G261" s="242"/>
      <c r="H261" s="260"/>
      <c r="I261" s="266"/>
      <c r="J261" s="206"/>
    </row>
    <row r="262" spans="4:10">
      <c r="D262" s="242"/>
      <c r="E262" s="242"/>
      <c r="F262" s="206"/>
      <c r="G262" s="242"/>
      <c r="H262" s="260"/>
      <c r="I262" s="266"/>
      <c r="J262" s="206"/>
    </row>
    <row r="263" spans="4:10">
      <c r="D263" s="242"/>
      <c r="E263" s="242"/>
      <c r="F263" s="206"/>
      <c r="G263" s="242"/>
      <c r="H263" s="260"/>
      <c r="I263" s="266"/>
      <c r="J263" s="206"/>
    </row>
    <row r="264" spans="4:10">
      <c r="D264" s="242"/>
      <c r="E264" s="242"/>
      <c r="F264" s="206"/>
      <c r="G264" s="242"/>
      <c r="H264" s="260"/>
      <c r="I264" s="266"/>
      <c r="J264" s="206"/>
    </row>
    <row r="265" spans="4:10">
      <c r="D265" s="242"/>
      <c r="E265" s="242"/>
      <c r="F265" s="206"/>
      <c r="G265" s="242"/>
      <c r="H265" s="260"/>
      <c r="I265" s="266"/>
      <c r="J265" s="206"/>
    </row>
    <row r="266" spans="4:10">
      <c r="D266" s="242"/>
      <c r="E266" s="242"/>
      <c r="F266" s="206"/>
      <c r="G266" s="242"/>
      <c r="H266" s="260"/>
      <c r="I266" s="266"/>
      <c r="J266" s="206"/>
    </row>
    <row r="267" spans="4:10">
      <c r="D267" s="242"/>
      <c r="E267" s="242"/>
      <c r="F267" s="206"/>
      <c r="G267" s="242"/>
      <c r="H267" s="260"/>
      <c r="I267" s="266"/>
      <c r="J267" s="206"/>
    </row>
    <row r="268" spans="4:10">
      <c r="D268" s="242"/>
      <c r="E268" s="242"/>
      <c r="F268" s="206"/>
      <c r="G268" s="242"/>
      <c r="H268" s="260"/>
      <c r="I268" s="266"/>
      <c r="J268" s="206"/>
    </row>
    <row r="269" spans="4:10">
      <c r="D269" s="242"/>
      <c r="E269" s="242"/>
      <c r="F269" s="206"/>
      <c r="G269" s="242"/>
      <c r="H269" s="260"/>
      <c r="I269" s="266"/>
      <c r="J269" s="206"/>
    </row>
    <row r="270" spans="4:10">
      <c r="D270" s="242"/>
      <c r="E270" s="242"/>
      <c r="F270" s="206"/>
      <c r="G270" s="242"/>
      <c r="H270" s="260"/>
      <c r="I270" s="266"/>
      <c r="J270" s="206"/>
    </row>
    <row r="271" spans="4:10">
      <c r="D271" s="242"/>
      <c r="E271" s="242"/>
      <c r="F271" s="206"/>
      <c r="G271" s="242"/>
      <c r="H271" s="260"/>
      <c r="I271" s="266"/>
      <c r="J271" s="206"/>
    </row>
    <row r="272" spans="4:10">
      <c r="D272" s="242"/>
      <c r="E272" s="242"/>
      <c r="F272" s="206"/>
      <c r="G272" s="242"/>
      <c r="H272" s="260"/>
      <c r="I272" s="266"/>
      <c r="J272" s="206"/>
    </row>
    <row r="273" spans="4:10">
      <c r="D273" s="242"/>
      <c r="E273" s="242"/>
      <c r="F273" s="206"/>
      <c r="G273" s="242"/>
      <c r="H273" s="260"/>
      <c r="I273" s="266"/>
      <c r="J273" s="206"/>
    </row>
    <row r="274" spans="4:10">
      <c r="D274" s="242"/>
      <c r="E274" s="242"/>
      <c r="F274" s="206"/>
      <c r="G274" s="242"/>
      <c r="H274" s="260"/>
      <c r="I274" s="266"/>
      <c r="J274" s="206"/>
    </row>
    <row r="275" spans="4:10">
      <c r="D275" s="242"/>
      <c r="E275" s="242"/>
      <c r="F275" s="206"/>
      <c r="G275" s="242"/>
      <c r="H275" s="260"/>
      <c r="I275" s="266"/>
      <c r="J275" s="206"/>
    </row>
    <row r="276" spans="4:10">
      <c r="D276" s="242"/>
      <c r="E276" s="242"/>
      <c r="F276" s="206"/>
      <c r="G276" s="242"/>
      <c r="H276" s="260"/>
      <c r="I276" s="266"/>
      <c r="J276" s="206"/>
    </row>
    <row r="277" spans="4:10">
      <c r="D277" s="242"/>
      <c r="E277" s="242"/>
      <c r="F277" s="206"/>
      <c r="G277" s="242"/>
      <c r="H277" s="260"/>
      <c r="I277" s="266"/>
      <c r="J277" s="206"/>
    </row>
    <row r="278" spans="4:10">
      <c r="D278" s="242"/>
      <c r="E278" s="242"/>
      <c r="F278" s="206"/>
      <c r="G278" s="242"/>
      <c r="H278" s="260"/>
      <c r="I278" s="266"/>
      <c r="J278" s="206"/>
    </row>
    <row r="279" spans="4:10">
      <c r="D279" s="242"/>
      <c r="E279" s="242"/>
      <c r="F279" s="206"/>
      <c r="G279" s="242"/>
      <c r="H279" s="260"/>
      <c r="I279" s="266"/>
      <c r="J279" s="206"/>
    </row>
    <row r="280" spans="4:10">
      <c r="D280" s="242"/>
      <c r="E280" s="242"/>
      <c r="F280" s="206"/>
      <c r="G280" s="242"/>
      <c r="H280" s="260"/>
      <c r="I280" s="266"/>
      <c r="J280" s="206"/>
    </row>
    <row r="281" spans="4:10">
      <c r="D281" s="242"/>
      <c r="E281" s="242"/>
      <c r="F281" s="206"/>
      <c r="G281" s="242"/>
      <c r="H281" s="260"/>
      <c r="I281" s="266"/>
      <c r="J281" s="206"/>
    </row>
    <row r="282" spans="4:10">
      <c r="D282" s="242"/>
      <c r="E282" s="242"/>
      <c r="F282" s="206"/>
      <c r="G282" s="242"/>
      <c r="H282" s="260"/>
      <c r="I282" s="266"/>
      <c r="J282" s="206"/>
    </row>
    <row r="283" spans="4:10">
      <c r="D283" s="242"/>
      <c r="E283" s="242"/>
      <c r="F283" s="206"/>
      <c r="G283" s="242"/>
      <c r="H283" s="260"/>
      <c r="I283" s="266"/>
      <c r="J283" s="206"/>
    </row>
    <row r="284" spans="4:10">
      <c r="D284" s="242"/>
      <c r="E284" s="242"/>
      <c r="F284" s="206"/>
      <c r="G284" s="242"/>
      <c r="H284" s="206"/>
      <c r="I284" s="266"/>
      <c r="J284" s="206"/>
    </row>
    <row r="285" spans="4:10">
      <c r="D285" s="242"/>
      <c r="E285" s="242"/>
      <c r="F285" s="206"/>
      <c r="G285" s="242"/>
      <c r="H285" s="206"/>
      <c r="I285" s="266"/>
      <c r="J285" s="206"/>
    </row>
    <row r="286" spans="4:10">
      <c r="D286" s="242"/>
      <c r="E286" s="242"/>
      <c r="F286" s="206"/>
      <c r="G286" s="242"/>
      <c r="H286" s="206"/>
      <c r="I286" s="266"/>
      <c r="J286" s="206"/>
    </row>
    <row r="287" spans="4:10">
      <c r="D287" s="242"/>
      <c r="E287" s="242"/>
      <c r="F287" s="206"/>
      <c r="G287" s="242"/>
      <c r="H287" s="206"/>
      <c r="I287" s="266"/>
      <c r="J287" s="206"/>
    </row>
    <row r="288" spans="4:10">
      <c r="D288" s="242"/>
      <c r="E288" s="242"/>
      <c r="F288" s="206"/>
      <c r="G288" s="242"/>
      <c r="H288" s="206"/>
      <c r="I288" s="266"/>
      <c r="J288" s="206"/>
    </row>
    <row r="289" spans="4:10">
      <c r="D289" s="242"/>
      <c r="E289" s="242"/>
      <c r="F289" s="206"/>
      <c r="G289" s="242"/>
      <c r="H289" s="206"/>
      <c r="I289" s="266"/>
      <c r="J289" s="206"/>
    </row>
    <row r="290" spans="4:10">
      <c r="D290" s="242"/>
      <c r="E290" s="242"/>
      <c r="F290" s="206"/>
      <c r="G290" s="242"/>
      <c r="H290" s="206"/>
      <c r="I290" s="266"/>
      <c r="J290" s="206"/>
    </row>
    <row r="291" spans="4:10">
      <c r="D291" s="242"/>
      <c r="E291" s="242"/>
      <c r="F291" s="206"/>
      <c r="G291" s="242"/>
      <c r="H291" s="206"/>
      <c r="I291" s="266"/>
      <c r="J291" s="206"/>
    </row>
    <row r="292" spans="4:10">
      <c r="D292" s="242"/>
      <c r="E292" s="242"/>
      <c r="F292" s="206"/>
      <c r="G292" s="242"/>
      <c r="H292" s="206"/>
      <c r="I292" s="266"/>
      <c r="J292" s="206"/>
    </row>
    <row r="293" spans="4:10">
      <c r="D293" s="242"/>
      <c r="E293" s="242"/>
      <c r="F293" s="206"/>
      <c r="G293" s="242"/>
      <c r="H293" s="206"/>
      <c r="I293" s="266"/>
      <c r="J293" s="206"/>
    </row>
    <row r="294" spans="4:10">
      <c r="D294" s="242"/>
      <c r="E294" s="242"/>
      <c r="F294" s="206"/>
      <c r="G294" s="242"/>
      <c r="H294" s="206"/>
      <c r="I294" s="266"/>
      <c r="J294" s="206"/>
    </row>
    <row r="295" spans="4:10">
      <c r="D295" s="242"/>
      <c r="E295" s="242"/>
      <c r="F295" s="206"/>
      <c r="G295" s="242"/>
      <c r="H295" s="206"/>
      <c r="I295" s="266"/>
      <c r="J295" s="206"/>
    </row>
    <row r="296" spans="4:10">
      <c r="D296" s="242"/>
      <c r="E296" s="242"/>
      <c r="F296" s="206"/>
      <c r="G296" s="242"/>
      <c r="H296" s="206"/>
      <c r="I296" s="266"/>
      <c r="J296" s="206"/>
    </row>
    <row r="297" spans="4:10">
      <c r="D297" s="242"/>
      <c r="E297" s="242"/>
      <c r="F297" s="206"/>
      <c r="G297" s="242"/>
      <c r="H297" s="206"/>
      <c r="I297" s="266"/>
      <c r="J297" s="206"/>
    </row>
    <row r="298" spans="4:10">
      <c r="D298" s="242"/>
      <c r="E298" s="242"/>
      <c r="F298" s="206"/>
      <c r="G298" s="242"/>
      <c r="H298" s="206"/>
      <c r="I298" s="266"/>
      <c r="J298" s="206"/>
    </row>
    <row r="299" spans="4:10">
      <c r="D299" s="242"/>
      <c r="E299" s="242"/>
      <c r="F299" s="206"/>
      <c r="G299" s="242"/>
      <c r="H299" s="206"/>
      <c r="I299" s="266"/>
      <c r="J299" s="206"/>
    </row>
    <row r="300" spans="4:10">
      <c r="D300" s="242"/>
      <c r="E300" s="242"/>
      <c r="F300" s="206"/>
      <c r="G300" s="242"/>
      <c r="H300" s="206"/>
      <c r="I300" s="266"/>
      <c r="J300" s="206"/>
    </row>
    <row r="301" spans="4:10">
      <c r="D301" s="242"/>
      <c r="E301" s="242"/>
      <c r="F301" s="206"/>
      <c r="G301" s="242"/>
      <c r="H301" s="206"/>
      <c r="I301" s="266"/>
      <c r="J301" s="206"/>
    </row>
    <row r="302" spans="4:10">
      <c r="D302" s="242"/>
      <c r="E302" s="242"/>
      <c r="F302" s="206"/>
      <c r="G302" s="242"/>
      <c r="H302" s="206"/>
      <c r="I302" s="266"/>
      <c r="J302" s="206"/>
    </row>
    <row r="303" spans="4:10">
      <c r="D303" s="242"/>
      <c r="E303" s="242"/>
      <c r="F303" s="206"/>
      <c r="G303" s="242"/>
      <c r="H303" s="206"/>
      <c r="I303" s="266"/>
      <c r="J303" s="206"/>
    </row>
    <row r="304" spans="4:10">
      <c r="D304" s="242"/>
      <c r="E304" s="242"/>
      <c r="F304" s="206"/>
      <c r="G304" s="242"/>
      <c r="H304" s="206"/>
      <c r="I304" s="266"/>
      <c r="J304" s="206"/>
    </row>
    <row r="305" spans="4:10">
      <c r="D305" s="242"/>
      <c r="E305" s="242"/>
      <c r="F305" s="206"/>
      <c r="G305" s="242"/>
      <c r="H305" s="206"/>
      <c r="I305" s="266"/>
      <c r="J305" s="206"/>
    </row>
    <row r="306" spans="4:10">
      <c r="D306" s="242"/>
      <c r="E306" s="242"/>
      <c r="F306" s="206"/>
      <c r="G306" s="242"/>
      <c r="H306" s="206"/>
      <c r="I306" s="266"/>
      <c r="J306" s="206"/>
    </row>
    <row r="307" spans="4:10">
      <c r="D307" s="242"/>
      <c r="E307" s="242"/>
      <c r="F307" s="206"/>
      <c r="G307" s="242"/>
      <c r="H307" s="206"/>
      <c r="I307" s="266"/>
      <c r="J307" s="206"/>
    </row>
    <row r="308" spans="4:10">
      <c r="I308" s="267"/>
    </row>
    <row r="309" spans="4:10">
      <c r="I309" s="267"/>
    </row>
    <row r="310" spans="4:10">
      <c r="I310" s="267"/>
    </row>
    <row r="311" spans="4:10">
      <c r="I311" s="267"/>
    </row>
    <row r="312" spans="4:10">
      <c r="I312" s="267"/>
    </row>
    <row r="313" spans="4:10">
      <c r="I313" s="267"/>
    </row>
    <row r="314" spans="4:10">
      <c r="I314" s="267"/>
    </row>
    <row r="315" spans="4:10">
      <c r="I315" s="267"/>
    </row>
    <row r="322" spans="1:28" s="104" customFormat="1">
      <c r="A322"/>
      <c r="B322"/>
      <c r="C322"/>
      <c r="D322"/>
      <c r="E322"/>
      <c r="F322" s="105"/>
      <c r="G322"/>
      <c r="I322" s="108"/>
      <c r="K322"/>
      <c r="L322"/>
      <c r="M322"/>
      <c r="N322"/>
      <c r="O322"/>
      <c r="P322"/>
      <c r="Q322"/>
      <c r="R322"/>
      <c r="S322"/>
      <c r="T322"/>
      <c r="U322"/>
      <c r="V322"/>
      <c r="W322"/>
      <c r="X322"/>
      <c r="Y322"/>
      <c r="Z322"/>
      <c r="AA322"/>
      <c r="AB322"/>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rowBreaks count="1" manualBreakCount="1">
    <brk id="77" max="9"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B299"/>
  <sheetViews>
    <sheetView view="pageBreakPreview" topLeftCell="A31" zoomScale="130" zoomScaleSheetLayoutView="130" workbookViewId="0">
      <selection activeCell="F68" sqref="F68"/>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40</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Q19+Q20</f>
        <v>256.90999999999997</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f>R13+R14</f>
        <v>10</v>
      </c>
      <c r="G11" s="167"/>
      <c r="H11" s="176"/>
      <c r="I11" s="163"/>
      <c r="J11" s="176">
        <f>F11*H11</f>
        <v>0</v>
      </c>
      <c r="K11" s="136"/>
      <c r="L11" s="136" t="s">
        <v>462</v>
      </c>
      <c r="N11">
        <v>0</v>
      </c>
      <c r="O11">
        <v>29.78</v>
      </c>
      <c r="P11">
        <v>0</v>
      </c>
      <c r="Q11">
        <v>577.61</v>
      </c>
      <c r="R11">
        <v>571.36</v>
      </c>
      <c r="S11">
        <v>6.25</v>
      </c>
      <c r="T11">
        <v>0</v>
      </c>
      <c r="U11">
        <v>0</v>
      </c>
      <c r="V11">
        <v>0</v>
      </c>
      <c r="W11">
        <v>562.1</v>
      </c>
      <c r="X11">
        <v>277.22000000000003</v>
      </c>
      <c r="Y11">
        <v>111.72</v>
      </c>
      <c r="Z11">
        <v>143.85</v>
      </c>
      <c r="AA11">
        <v>29.32</v>
      </c>
      <c r="AB11">
        <v>275.27999999999997</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1</v>
      </c>
      <c r="G13" s="167"/>
      <c r="H13" s="176"/>
      <c r="I13" s="182"/>
      <c r="J13" s="176">
        <f>F13*H13</f>
        <v>0</v>
      </c>
      <c r="K13" s="136"/>
      <c r="L13" s="136" t="s">
        <v>179</v>
      </c>
      <c r="M13" t="s">
        <v>389</v>
      </c>
      <c r="N13">
        <v>1</v>
      </c>
      <c r="O13" t="s">
        <v>390</v>
      </c>
      <c r="P13" t="s">
        <v>391</v>
      </c>
      <c r="Q13">
        <v>1000</v>
      </c>
      <c r="R13">
        <v>9</v>
      </c>
    </row>
    <row r="14" spans="1:28" ht="14.25">
      <c r="A14" s="172"/>
      <c r="B14" s="173"/>
      <c r="C14" s="173"/>
      <c r="D14" s="165"/>
      <c r="E14" s="165"/>
      <c r="F14" s="166"/>
      <c r="G14" s="167"/>
      <c r="H14" s="168"/>
      <c r="I14" s="182"/>
      <c r="J14" s="168"/>
      <c r="K14" s="136"/>
      <c r="L14" s="136" t="s">
        <v>177</v>
      </c>
      <c r="M14" t="s">
        <v>389</v>
      </c>
      <c r="N14">
        <v>11</v>
      </c>
      <c r="O14" t="s">
        <v>392</v>
      </c>
      <c r="P14" t="s">
        <v>391</v>
      </c>
      <c r="Q14">
        <v>1000</v>
      </c>
      <c r="R14">
        <v>1</v>
      </c>
    </row>
    <row r="15" spans="1:28" ht="14.25">
      <c r="A15" s="172" t="s">
        <v>67</v>
      </c>
      <c r="B15" s="173" t="s">
        <v>74</v>
      </c>
      <c r="C15" s="173"/>
      <c r="D15" s="174" t="s">
        <v>190</v>
      </c>
      <c r="E15" s="165"/>
      <c r="F15" s="175">
        <v>1</v>
      </c>
      <c r="G15" s="167"/>
      <c r="H15" s="176"/>
      <c r="I15" s="182"/>
      <c r="J15" s="176">
        <f>F15*H15</f>
        <v>0</v>
      </c>
      <c r="K15" s="136"/>
      <c r="L15" s="136"/>
    </row>
    <row r="16" spans="1:28" ht="14.25">
      <c r="A16" s="172"/>
      <c r="B16" s="173"/>
      <c r="C16" s="173"/>
      <c r="D16" s="165"/>
      <c r="E16" s="165"/>
      <c r="F16" s="166"/>
      <c r="G16" s="167"/>
      <c r="H16" s="168"/>
      <c r="I16" s="182"/>
      <c r="J16" s="168"/>
      <c r="K16" s="136"/>
      <c r="L16" s="136"/>
    </row>
    <row r="17" spans="1:17" ht="15" thickBot="1">
      <c r="A17" s="183"/>
      <c r="B17" s="184" t="s">
        <v>75</v>
      </c>
      <c r="C17" s="184"/>
      <c r="D17" s="185"/>
      <c r="E17" s="185"/>
      <c r="F17" s="186"/>
      <c r="G17" s="185"/>
      <c r="H17" s="187"/>
      <c r="I17" s="188"/>
      <c r="J17" s="189">
        <f>SUM(J9:J15)</f>
        <v>0</v>
      </c>
      <c r="K17" s="136"/>
      <c r="L17" s="136"/>
    </row>
    <row r="18" spans="1:17" ht="15" thickTop="1">
      <c r="A18" s="190"/>
      <c r="B18" s="191"/>
      <c r="C18" s="191"/>
      <c r="D18" s="192"/>
      <c r="E18" s="192"/>
      <c r="F18" s="165"/>
      <c r="G18" s="192"/>
      <c r="H18" s="193"/>
      <c r="I18" s="182"/>
      <c r="J18" s="194"/>
      <c r="K18" s="136"/>
      <c r="L18" s="136" t="s">
        <v>221</v>
      </c>
      <c r="N18" t="s">
        <v>239</v>
      </c>
      <c r="P18" t="s">
        <v>238</v>
      </c>
      <c r="Q18" s="450" t="s">
        <v>394</v>
      </c>
    </row>
    <row r="19" spans="1:17" ht="14.25">
      <c r="A19" s="190"/>
      <c r="B19" s="191"/>
      <c r="C19" s="191"/>
      <c r="D19" s="192"/>
      <c r="E19" s="192"/>
      <c r="F19" s="165"/>
      <c r="G19" s="192"/>
      <c r="H19" s="193"/>
      <c r="I19" s="182"/>
      <c r="J19" s="194"/>
      <c r="K19" s="136"/>
      <c r="L19" s="136" t="s">
        <v>407</v>
      </c>
      <c r="N19">
        <v>311.7</v>
      </c>
      <c r="P19">
        <v>235.4</v>
      </c>
      <c r="Q19">
        <v>139.85</v>
      </c>
    </row>
    <row r="20" spans="1:17" ht="15">
      <c r="A20" s="195" t="s">
        <v>61</v>
      </c>
      <c r="B20" s="196" t="s">
        <v>76</v>
      </c>
      <c r="C20" s="196"/>
      <c r="D20" s="160"/>
      <c r="E20" s="160"/>
      <c r="F20" s="170"/>
      <c r="G20" s="171"/>
      <c r="H20" s="197"/>
      <c r="I20" s="180"/>
      <c r="J20" s="198"/>
      <c r="K20" s="136"/>
      <c r="L20" s="136" t="s">
        <v>414</v>
      </c>
      <c r="Q20">
        <v>117.06</v>
      </c>
    </row>
    <row r="21" spans="1:17" ht="15">
      <c r="A21" s="195"/>
      <c r="B21" s="453" t="s">
        <v>452</v>
      </c>
      <c r="C21" s="196"/>
      <c r="D21" s="160"/>
      <c r="E21" s="160"/>
      <c r="F21" s="170"/>
      <c r="G21" s="171"/>
      <c r="H21" s="197"/>
      <c r="I21" s="180"/>
      <c r="J21" s="198"/>
      <c r="K21" s="136"/>
      <c r="L21" s="136"/>
    </row>
    <row r="22" spans="1:17" ht="8.25" customHeight="1">
      <c r="A22" s="172"/>
      <c r="B22" s="173"/>
      <c r="C22" s="173"/>
      <c r="D22" s="165"/>
      <c r="E22" s="165"/>
      <c r="F22" s="166"/>
      <c r="G22" s="167"/>
      <c r="H22" s="193"/>
      <c r="I22" s="182"/>
      <c r="J22" s="194"/>
      <c r="K22" s="136"/>
      <c r="L22" s="136"/>
    </row>
    <row r="23" spans="1:17" ht="6" customHeight="1">
      <c r="A23" s="195"/>
      <c r="B23" s="196"/>
      <c r="C23" s="196"/>
      <c r="D23" s="165"/>
      <c r="E23" s="165"/>
      <c r="F23" s="166"/>
      <c r="G23" s="167"/>
      <c r="H23" s="193"/>
      <c r="I23" s="182"/>
      <c r="J23" s="194"/>
      <c r="K23" s="136"/>
      <c r="L23" s="136"/>
    </row>
    <row r="24" spans="1:17" ht="15">
      <c r="A24" s="195"/>
      <c r="B24" s="196"/>
      <c r="C24" s="196"/>
      <c r="D24" s="160"/>
      <c r="E24" s="160"/>
      <c r="F24" s="170"/>
      <c r="G24" s="171"/>
      <c r="H24" s="197"/>
      <c r="I24" s="180"/>
      <c r="J24" s="198"/>
      <c r="K24" s="136"/>
      <c r="L24" s="136" t="s">
        <v>221</v>
      </c>
      <c r="M24" t="s">
        <v>238</v>
      </c>
      <c r="N24" t="s">
        <v>239</v>
      </c>
    </row>
    <row r="25" spans="1:17" ht="51">
      <c r="A25" s="203" t="s">
        <v>61</v>
      </c>
      <c r="B25" s="204" t="s">
        <v>22</v>
      </c>
      <c r="C25" s="205"/>
      <c r="D25" s="206"/>
      <c r="E25" s="206"/>
      <c r="F25" s="207"/>
      <c r="G25" s="208"/>
      <c r="H25" s="209"/>
      <c r="I25" s="180"/>
      <c r="J25" s="194"/>
      <c r="K25" s="136"/>
      <c r="M25">
        <v>296.60000000000002</v>
      </c>
      <c r="N25">
        <v>139.85</v>
      </c>
    </row>
    <row r="26" spans="1:17" ht="15.75">
      <c r="A26" s="210"/>
      <c r="B26" s="205" t="s">
        <v>78</v>
      </c>
      <c r="C26" s="205"/>
      <c r="D26" s="211" t="s">
        <v>108</v>
      </c>
      <c r="E26" s="206"/>
      <c r="F26" s="212">
        <f>F9*1.4*0.95</f>
        <v>341.69029999999992</v>
      </c>
      <c r="G26" s="208"/>
      <c r="H26" s="213"/>
      <c r="I26" s="180"/>
      <c r="J26" s="202">
        <f>F26*H26</f>
        <v>0</v>
      </c>
      <c r="K26" s="136"/>
      <c r="M26">
        <v>376.6</v>
      </c>
      <c r="N26">
        <v>117.06</v>
      </c>
    </row>
    <row r="27" spans="1:17" ht="14.25">
      <c r="A27" s="203"/>
      <c r="B27" s="205" t="s">
        <v>79</v>
      </c>
      <c r="C27" s="205"/>
      <c r="D27" s="211" t="s">
        <v>108</v>
      </c>
      <c r="E27" s="206"/>
      <c r="F27" s="212">
        <f>F9*1.4*0.05</f>
        <v>17.983699999999995</v>
      </c>
      <c r="G27" s="208"/>
      <c r="H27" s="213"/>
      <c r="I27" s="180"/>
      <c r="J27" s="202">
        <f>F27*H27</f>
        <v>0</v>
      </c>
      <c r="K27" s="136"/>
      <c r="L27" s="136"/>
    </row>
    <row r="28" spans="1:17" ht="14.25">
      <c r="A28" s="203"/>
      <c r="B28" s="173"/>
      <c r="C28" s="205"/>
      <c r="D28" s="214"/>
      <c r="E28" s="206"/>
      <c r="F28" s="207"/>
      <c r="G28" s="208"/>
      <c r="H28" s="215"/>
      <c r="I28" s="180"/>
      <c r="J28" s="194"/>
      <c r="K28" s="199"/>
      <c r="L28" s="199"/>
      <c r="N28" s="200"/>
      <c r="O28" s="200"/>
    </row>
    <row r="29" spans="1:17" ht="25.5">
      <c r="A29" s="203" t="s">
        <v>63</v>
      </c>
      <c r="B29" s="205" t="s">
        <v>21</v>
      </c>
      <c r="C29" s="205"/>
      <c r="D29" s="206"/>
      <c r="E29" s="206"/>
      <c r="F29" s="216"/>
      <c r="G29" s="217"/>
      <c r="H29" s="209"/>
      <c r="I29" s="180"/>
      <c r="J29" s="218"/>
      <c r="K29" s="199"/>
      <c r="L29" s="199"/>
      <c r="N29" s="200"/>
      <c r="O29" s="200"/>
    </row>
    <row r="30" spans="1:17" ht="14.25">
      <c r="A30" s="203"/>
      <c r="B30" s="205"/>
      <c r="C30" s="205"/>
      <c r="D30" s="211" t="s">
        <v>105</v>
      </c>
      <c r="E30" s="206"/>
      <c r="F30" s="220">
        <f>F9*0.8</f>
        <v>205.52799999999999</v>
      </c>
      <c r="G30" s="221"/>
      <c r="H30" s="213"/>
      <c r="I30" s="180"/>
      <c r="J30" s="202">
        <f>F30*H30</f>
        <v>0</v>
      </c>
      <c r="K30" s="199"/>
      <c r="L30" s="199"/>
      <c r="N30" s="200"/>
      <c r="O30" s="200"/>
    </row>
    <row r="31" spans="1:17" ht="14.25">
      <c r="A31" s="172"/>
      <c r="B31" s="173"/>
      <c r="C31" s="173"/>
      <c r="D31" s="165"/>
      <c r="E31" s="160"/>
      <c r="F31" s="222"/>
      <c r="G31" s="223"/>
      <c r="H31" s="215"/>
      <c r="I31" s="180"/>
      <c r="J31" s="194"/>
      <c r="K31" s="199"/>
      <c r="L31" s="199"/>
      <c r="N31" s="200"/>
      <c r="O31" s="200"/>
    </row>
    <row r="32" spans="1:17" ht="51">
      <c r="A32" s="172" t="s">
        <v>67</v>
      </c>
      <c r="B32" s="224" t="s">
        <v>80</v>
      </c>
      <c r="C32" s="225"/>
      <c r="D32" s="174" t="s">
        <v>108</v>
      </c>
      <c r="E32" s="160"/>
      <c r="F32" s="175">
        <f>AA11</f>
        <v>29.32</v>
      </c>
      <c r="G32" s="167"/>
      <c r="H32" s="213"/>
      <c r="I32" s="169"/>
      <c r="J32" s="202">
        <f>F32*H32</f>
        <v>0</v>
      </c>
      <c r="K32" s="200"/>
      <c r="L32" s="199"/>
      <c r="M32" s="200"/>
    </row>
    <row r="33" spans="1:15" ht="14.25">
      <c r="A33" s="172"/>
      <c r="B33" s="224"/>
      <c r="C33" s="225"/>
      <c r="D33" s="160"/>
      <c r="E33" s="160"/>
      <c r="F33" s="166"/>
      <c r="G33" s="167"/>
      <c r="H33" s="215"/>
      <c r="I33" s="169"/>
      <c r="J33" s="194"/>
      <c r="K33" s="200"/>
      <c r="L33" s="199"/>
      <c r="M33" s="200"/>
    </row>
    <row r="34" spans="1:15" ht="38.25">
      <c r="A34" s="172" t="s">
        <v>68</v>
      </c>
      <c r="B34" s="173" t="s">
        <v>24</v>
      </c>
      <c r="C34" s="225"/>
      <c r="D34" s="174" t="s">
        <v>108</v>
      </c>
      <c r="E34" s="160"/>
      <c r="F34" s="175">
        <f>Z11</f>
        <v>143.85</v>
      </c>
      <c r="G34" s="167"/>
      <c r="H34" s="213"/>
      <c r="I34" s="169"/>
      <c r="J34" s="202">
        <f>F34*H34</f>
        <v>0</v>
      </c>
      <c r="K34" s="200"/>
      <c r="L34" s="199"/>
      <c r="M34" s="200"/>
    </row>
    <row r="35" spans="1:15" ht="14.25">
      <c r="A35" s="172"/>
      <c r="B35" s="173"/>
      <c r="C35" s="225"/>
      <c r="D35" s="165"/>
      <c r="E35" s="160"/>
      <c r="F35" s="166"/>
      <c r="G35" s="167"/>
      <c r="H35" s="215"/>
      <c r="I35" s="169"/>
      <c r="J35" s="194"/>
      <c r="K35" s="200"/>
      <c r="L35" s="199"/>
      <c r="M35" s="200"/>
    </row>
    <row r="36" spans="1:15" ht="76.5">
      <c r="A36" s="172" t="s">
        <v>69</v>
      </c>
      <c r="B36" s="224" t="s">
        <v>25</v>
      </c>
      <c r="C36" s="226"/>
      <c r="D36" s="179"/>
      <c r="E36" s="179"/>
      <c r="F36" s="166"/>
      <c r="G36" s="167"/>
      <c r="H36" s="198"/>
      <c r="I36" s="163"/>
      <c r="J36" s="198"/>
      <c r="K36" s="171"/>
      <c r="L36" s="219"/>
      <c r="M36" s="200"/>
    </row>
    <row r="37" spans="1:15" ht="15">
      <c r="A37" s="172"/>
      <c r="B37" s="173" t="s">
        <v>78</v>
      </c>
      <c r="C37" s="173"/>
      <c r="D37" s="174" t="s">
        <v>108</v>
      </c>
      <c r="E37" s="160"/>
      <c r="F37" s="175">
        <f>F9*0.24*0.95</f>
        <v>58.575479999999992</v>
      </c>
      <c r="G37" s="167"/>
      <c r="H37" s="213"/>
      <c r="I37" s="163"/>
      <c r="J37" s="202">
        <f>F37*H37</f>
        <v>0</v>
      </c>
      <c r="K37" s="171"/>
      <c r="L37" s="219"/>
      <c r="M37" s="200"/>
    </row>
    <row r="38" spans="1:15" ht="14.25">
      <c r="A38" s="172"/>
      <c r="B38" s="173" t="s">
        <v>79</v>
      </c>
      <c r="C38" s="173"/>
      <c r="D38" s="174" t="s">
        <v>108</v>
      </c>
      <c r="E38" s="160"/>
      <c r="F38" s="181">
        <f>F9*0.24*0.05</f>
        <v>3.0829199999999997</v>
      </c>
      <c r="G38" s="167"/>
      <c r="H38" s="213"/>
      <c r="I38" s="163"/>
      <c r="J38" s="202">
        <f>F38*H38</f>
        <v>0</v>
      </c>
      <c r="K38" s="199"/>
      <c r="L38" s="199"/>
      <c r="M38" s="200"/>
      <c r="N38" s="200"/>
      <c r="O38" s="200"/>
    </row>
    <row r="39" spans="1:15" ht="14.25">
      <c r="A39" s="172"/>
      <c r="B39" s="173"/>
      <c r="C39" s="173"/>
      <c r="D39" s="165"/>
      <c r="E39" s="160"/>
      <c r="F39" s="166"/>
      <c r="G39" s="167"/>
      <c r="H39" s="215"/>
      <c r="I39" s="163"/>
      <c r="J39" s="194"/>
      <c r="K39" s="199"/>
      <c r="L39" s="199"/>
      <c r="M39" s="200"/>
      <c r="N39" s="200"/>
      <c r="O39" s="200"/>
    </row>
    <row r="40" spans="1:15" ht="6" customHeight="1">
      <c r="A40" s="227"/>
      <c r="B40" s="228"/>
      <c r="C40" s="228"/>
      <c r="D40" s="230"/>
      <c r="E40" s="230"/>
      <c r="F40" s="710"/>
      <c r="G40" s="192"/>
      <c r="H40" s="194"/>
      <c r="I40" s="169"/>
      <c r="J40" s="194"/>
      <c r="K40" s="199"/>
      <c r="L40" s="199"/>
      <c r="M40" s="200"/>
      <c r="N40" s="200"/>
      <c r="O40" s="200"/>
    </row>
    <row r="41" spans="1:15" ht="3.75" customHeight="1">
      <c r="A41" s="172"/>
      <c r="B41" s="224"/>
      <c r="C41" s="226"/>
      <c r="D41" s="160"/>
      <c r="E41" s="160"/>
      <c r="F41" s="166"/>
      <c r="G41" s="167"/>
      <c r="H41" s="215"/>
      <c r="I41" s="163"/>
      <c r="J41" s="194"/>
      <c r="K41" s="199"/>
      <c r="L41" s="199"/>
      <c r="M41" s="200"/>
      <c r="N41" s="200"/>
      <c r="O41" s="200"/>
    </row>
    <row r="42" spans="1:15" ht="25.5">
      <c r="A42" s="172" t="s">
        <v>72</v>
      </c>
      <c r="B42" s="228" t="s">
        <v>27</v>
      </c>
      <c r="C42" s="226"/>
      <c r="D42" s="174" t="s">
        <v>108</v>
      </c>
      <c r="E42" s="160"/>
      <c r="F42" s="175">
        <f>F26+F27-F37-F38</f>
        <v>298.01559999999995</v>
      </c>
      <c r="G42" s="167"/>
      <c r="H42" s="213"/>
      <c r="I42" s="163"/>
      <c r="J42" s="202">
        <f>F42*H42</f>
        <v>0</v>
      </c>
      <c r="K42" s="199"/>
      <c r="L42" s="199"/>
      <c r="M42" s="200"/>
      <c r="N42" s="200"/>
      <c r="O42" s="200"/>
    </row>
    <row r="43" spans="1:15">
      <c r="A43" s="172"/>
      <c r="B43" s="228"/>
      <c r="C43" s="226"/>
      <c r="D43" s="165"/>
      <c r="E43" s="160"/>
      <c r="F43" s="166"/>
      <c r="G43" s="167"/>
      <c r="H43" s="215"/>
      <c r="I43" s="163"/>
      <c r="J43" s="194"/>
      <c r="K43" s="217"/>
      <c r="L43" s="200"/>
      <c r="M43" s="200"/>
      <c r="N43" s="200"/>
      <c r="O43" s="200"/>
    </row>
    <row r="44" spans="1:15" ht="13.5" thickBot="1">
      <c r="A44" s="183"/>
      <c r="B44" s="232" t="s">
        <v>28</v>
      </c>
      <c r="C44" s="232"/>
      <c r="D44" s="233"/>
      <c r="E44" s="233"/>
      <c r="F44" s="234"/>
      <c r="G44" s="235"/>
      <c r="H44" s="189"/>
      <c r="I44" s="236"/>
      <c r="J44" s="189">
        <f>SUM(J23:J43)</f>
        <v>0</v>
      </c>
      <c r="K44" s="217"/>
      <c r="L44" s="200"/>
      <c r="M44" s="200"/>
      <c r="N44" s="200"/>
      <c r="O44" s="200"/>
    </row>
    <row r="45" spans="1:15" ht="13.5" thickTop="1">
      <c r="A45" s="190"/>
      <c r="B45" s="237"/>
      <c r="C45" s="237"/>
      <c r="D45" s="238"/>
      <c r="E45" s="238"/>
      <c r="F45" s="166"/>
      <c r="G45" s="167"/>
      <c r="H45" s="194"/>
      <c r="I45" s="169"/>
      <c r="J45" s="194"/>
      <c r="K45" s="217"/>
      <c r="L45" s="200"/>
      <c r="M45" s="200"/>
      <c r="N45" s="200"/>
      <c r="O45" s="200"/>
    </row>
    <row r="46" spans="1:15">
      <c r="A46" s="190"/>
      <c r="B46" s="237"/>
      <c r="C46" s="237"/>
      <c r="D46" s="238"/>
      <c r="E46" s="238"/>
      <c r="F46" s="166"/>
      <c r="G46" s="167"/>
      <c r="H46" s="194"/>
      <c r="I46" s="169"/>
      <c r="J46" s="194"/>
      <c r="K46" s="217"/>
      <c r="L46" s="200"/>
      <c r="M46" s="200"/>
      <c r="N46" s="200"/>
      <c r="O46" s="200"/>
    </row>
    <row r="47" spans="1:15" ht="15">
      <c r="A47" s="195" t="s">
        <v>63</v>
      </c>
      <c r="B47" s="239" t="s">
        <v>29</v>
      </c>
      <c r="C47" s="239"/>
      <c r="D47" s="160"/>
      <c r="E47" s="160"/>
      <c r="F47" s="170"/>
      <c r="G47" s="171"/>
      <c r="H47" s="198"/>
      <c r="I47" s="163"/>
      <c r="J47" s="198"/>
      <c r="K47" s="217"/>
      <c r="L47" s="200"/>
      <c r="M47" s="200"/>
      <c r="N47" s="200"/>
      <c r="O47" s="200"/>
    </row>
    <row r="48" spans="1:15" ht="15">
      <c r="A48" s="195"/>
      <c r="B48" s="239"/>
      <c r="C48" s="239"/>
      <c r="D48" s="160"/>
      <c r="E48" s="160"/>
      <c r="F48" s="170"/>
      <c r="G48" s="171"/>
      <c r="H48" s="198"/>
      <c r="I48" s="163"/>
      <c r="J48" s="198"/>
      <c r="K48" s="217"/>
      <c r="L48" s="200"/>
      <c r="M48" s="200"/>
    </row>
    <row r="49" spans="1:15" ht="38.25">
      <c r="A49" s="172" t="s">
        <v>58</v>
      </c>
      <c r="B49" s="226" t="s">
        <v>409</v>
      </c>
      <c r="C49" s="226"/>
      <c r="D49" s="174" t="s">
        <v>60</v>
      </c>
      <c r="E49" s="160"/>
      <c r="F49" s="240">
        <f>Q19</f>
        <v>139.85</v>
      </c>
      <c r="G49" s="223"/>
      <c r="H49" s="213"/>
      <c r="I49" s="163"/>
      <c r="J49" s="202">
        <f>F49*H49</f>
        <v>0</v>
      </c>
      <c r="K49" s="217"/>
      <c r="L49" s="200"/>
      <c r="M49" s="200"/>
      <c r="N49" s="200"/>
      <c r="O49" s="200"/>
    </row>
    <row r="50" spans="1:15">
      <c r="A50" s="172"/>
      <c r="B50" s="226"/>
      <c r="C50" s="226"/>
      <c r="D50" s="160"/>
      <c r="E50" s="160"/>
      <c r="F50" s="170"/>
      <c r="G50" s="171"/>
      <c r="H50" s="198"/>
      <c r="I50" s="163"/>
      <c r="J50" s="198"/>
      <c r="K50" s="217"/>
      <c r="L50" s="200"/>
      <c r="M50" s="200"/>
      <c r="N50" s="200"/>
      <c r="O50" s="200"/>
    </row>
    <row r="51" spans="1:15" ht="38.25">
      <c r="A51" s="172" t="s">
        <v>61</v>
      </c>
      <c r="B51" s="226" t="s">
        <v>463</v>
      </c>
      <c r="C51" s="226"/>
      <c r="D51" s="174" t="s">
        <v>60</v>
      </c>
      <c r="E51" s="160"/>
      <c r="F51" s="240">
        <f>Q20</f>
        <v>117.06</v>
      </c>
      <c r="G51" s="223"/>
      <c r="H51" s="213"/>
      <c r="I51" s="163"/>
      <c r="J51" s="202">
        <f>F51*H51</f>
        <v>0</v>
      </c>
      <c r="K51" s="217"/>
      <c r="L51" s="200"/>
      <c r="M51" s="200"/>
      <c r="N51" s="200"/>
      <c r="O51" s="200"/>
    </row>
    <row r="52" spans="1:15">
      <c r="A52" s="172"/>
      <c r="B52" s="226"/>
      <c r="C52" s="226"/>
      <c r="D52" s="160"/>
      <c r="E52" s="160"/>
      <c r="F52" s="170"/>
      <c r="G52" s="171"/>
      <c r="H52" s="198"/>
      <c r="I52" s="163"/>
      <c r="J52" s="198"/>
      <c r="K52" s="217"/>
      <c r="L52" s="200"/>
      <c r="M52" s="200"/>
      <c r="N52" s="200"/>
      <c r="O52" s="200"/>
    </row>
    <row r="53" spans="1:15">
      <c r="A53" s="172"/>
      <c r="B53" s="226"/>
      <c r="C53" s="226"/>
      <c r="D53" s="160"/>
      <c r="E53" s="160"/>
      <c r="F53" s="170"/>
      <c r="G53" s="171"/>
      <c r="H53" s="198"/>
      <c r="I53" s="163"/>
      <c r="J53" s="198"/>
      <c r="K53" s="217"/>
      <c r="L53" s="200"/>
      <c r="M53" s="200"/>
      <c r="N53" s="200"/>
      <c r="O53" s="200"/>
    </row>
    <row r="54" spans="1:15" ht="51">
      <c r="A54" s="172" t="s">
        <v>63</v>
      </c>
      <c r="B54" s="241" t="s">
        <v>398</v>
      </c>
      <c r="C54" s="241"/>
      <c r="D54" s="165"/>
      <c r="E54" s="165"/>
      <c r="F54" s="166"/>
      <c r="G54" s="167"/>
      <c r="H54" s="198"/>
      <c r="I54" s="163"/>
      <c r="J54" s="198"/>
      <c r="K54" s="217"/>
      <c r="L54" s="200"/>
      <c r="M54" s="200"/>
      <c r="N54" s="200"/>
      <c r="O54" s="200"/>
    </row>
    <row r="55" spans="1:15">
      <c r="A55" s="172"/>
      <c r="B55" s="241"/>
      <c r="C55" s="241"/>
      <c r="D55" s="174" t="s">
        <v>190</v>
      </c>
      <c r="E55" s="165"/>
      <c r="F55" s="175">
        <f>R13</f>
        <v>9</v>
      </c>
      <c r="G55" s="167"/>
      <c r="H55" s="213"/>
      <c r="I55" s="163"/>
      <c r="J55" s="202">
        <f>F55*H55</f>
        <v>0</v>
      </c>
      <c r="K55" s="217"/>
      <c r="L55" s="200"/>
      <c r="M55" s="200"/>
      <c r="N55" s="200"/>
      <c r="O55" s="200"/>
    </row>
    <row r="56" spans="1:15">
      <c r="A56" s="172"/>
      <c r="B56" s="241"/>
      <c r="C56" s="241"/>
      <c r="D56" s="160"/>
      <c r="E56" s="160"/>
      <c r="F56" s="170"/>
      <c r="G56" s="171"/>
      <c r="H56" s="198"/>
      <c r="I56" s="163"/>
      <c r="J56" s="198"/>
      <c r="K56" s="217"/>
      <c r="L56" s="200"/>
      <c r="M56" s="200"/>
      <c r="N56" s="200"/>
      <c r="O56" s="200"/>
    </row>
    <row r="57" spans="1:15" ht="51">
      <c r="A57" s="172" t="s">
        <v>67</v>
      </c>
      <c r="B57" s="241" t="s">
        <v>397</v>
      </c>
      <c r="C57" s="241"/>
      <c r="D57" s="165"/>
      <c r="E57" s="165"/>
      <c r="F57" s="166"/>
      <c r="G57" s="167"/>
      <c r="H57" s="198"/>
      <c r="I57" s="163"/>
      <c r="J57" s="198"/>
      <c r="K57" s="217"/>
      <c r="L57" s="200"/>
      <c r="M57" s="200"/>
      <c r="N57" s="200"/>
      <c r="O57" s="200"/>
    </row>
    <row r="58" spans="1:15">
      <c r="A58" s="172"/>
      <c r="B58" s="241"/>
      <c r="C58" s="241"/>
      <c r="D58" s="174" t="s">
        <v>190</v>
      </c>
      <c r="E58" s="165"/>
      <c r="F58" s="175">
        <f>R14</f>
        <v>1</v>
      </c>
      <c r="G58" s="167"/>
      <c r="H58" s="213"/>
      <c r="I58" s="163"/>
      <c r="J58" s="202">
        <f>F58*H58</f>
        <v>0</v>
      </c>
      <c r="K58" s="217"/>
      <c r="L58" s="200"/>
      <c r="M58" s="200"/>
      <c r="N58" s="200"/>
      <c r="O58" s="200"/>
    </row>
    <row r="59" spans="1:15">
      <c r="A59" s="172"/>
      <c r="B59" s="241"/>
      <c r="C59" s="241"/>
      <c r="D59" s="160"/>
      <c r="E59" s="160"/>
      <c r="F59" s="170"/>
      <c r="G59" s="171"/>
      <c r="H59" s="198"/>
      <c r="I59" s="163"/>
      <c r="J59" s="198"/>
      <c r="K59" s="217"/>
      <c r="L59" s="200"/>
      <c r="M59" s="200"/>
      <c r="N59" s="200"/>
      <c r="O59" s="200"/>
    </row>
    <row r="60" spans="1:15" ht="13.5" thickBot="1">
      <c r="A60" s="243"/>
      <c r="B60" s="244" t="s">
        <v>30</v>
      </c>
      <c r="C60" s="244"/>
      <c r="D60" s="186"/>
      <c r="E60" s="186"/>
      <c r="F60" s="234"/>
      <c r="G60" s="235"/>
      <c r="H60" s="189"/>
      <c r="I60" s="236"/>
      <c r="J60" s="189">
        <f>SUM(J49:J58)</f>
        <v>0</v>
      </c>
      <c r="K60" s="217"/>
      <c r="L60" s="200"/>
      <c r="M60" s="200"/>
      <c r="N60" s="200"/>
      <c r="O60" s="200"/>
    </row>
    <row r="61" spans="1:15" ht="13.5" thickTop="1">
      <c r="A61" s="245"/>
      <c r="B61" s="246"/>
      <c r="C61" s="246"/>
      <c r="D61" s="165"/>
      <c r="E61" s="165"/>
      <c r="F61" s="166"/>
      <c r="G61" s="167"/>
      <c r="H61" s="194"/>
      <c r="I61" s="169"/>
      <c r="J61" s="194"/>
      <c r="K61" s="242"/>
    </row>
    <row r="62" spans="1:15" ht="15.75">
      <c r="A62" s="247" t="s">
        <v>67</v>
      </c>
      <c r="B62" s="248" t="s">
        <v>31</v>
      </c>
      <c r="C62" s="248"/>
      <c r="D62" s="192"/>
      <c r="E62" s="192"/>
      <c r="F62" s="166"/>
      <c r="G62" s="167"/>
      <c r="H62" s="150"/>
      <c r="I62" s="163"/>
      <c r="J62" s="198"/>
      <c r="K62" s="242"/>
    </row>
    <row r="63" spans="1:15">
      <c r="A63" s="172"/>
      <c r="B63" s="249"/>
      <c r="C63" s="249"/>
      <c r="D63" s="250"/>
      <c r="E63" s="250"/>
      <c r="F63" s="170"/>
      <c r="G63" s="171"/>
      <c r="H63" s="150"/>
      <c r="I63" s="163"/>
      <c r="J63" s="198"/>
      <c r="K63" s="242"/>
    </row>
    <row r="64" spans="1:15" ht="25.5">
      <c r="A64" s="172" t="s">
        <v>58</v>
      </c>
      <c r="B64" s="173" t="s">
        <v>32</v>
      </c>
      <c r="C64" s="173"/>
      <c r="D64" s="251" t="s">
        <v>60</v>
      </c>
      <c r="E64" s="179"/>
      <c r="F64" s="175">
        <f>F9</f>
        <v>256.90999999999997</v>
      </c>
      <c r="G64" s="167"/>
      <c r="H64" s="213"/>
      <c r="I64" s="163"/>
      <c r="J64" s="202">
        <f>F64*H64</f>
        <v>0</v>
      </c>
      <c r="K64" s="242"/>
    </row>
    <row r="65" spans="1:11">
      <c r="A65" s="172"/>
      <c r="B65" s="173"/>
      <c r="C65" s="173"/>
      <c r="D65" s="179"/>
      <c r="E65" s="179"/>
      <c r="F65" s="170"/>
      <c r="G65" s="171"/>
      <c r="H65" s="150"/>
      <c r="I65" s="163"/>
      <c r="J65" s="198"/>
      <c r="K65" s="242"/>
    </row>
    <row r="66" spans="1:11">
      <c r="A66" s="172" t="s">
        <v>61</v>
      </c>
      <c r="B66" s="173" t="s">
        <v>33</v>
      </c>
      <c r="C66" s="173"/>
      <c r="D66" s="251" t="s">
        <v>60</v>
      </c>
      <c r="E66" s="179"/>
      <c r="F66" s="175">
        <f>F9</f>
        <v>256.90999999999997</v>
      </c>
      <c r="G66" s="167"/>
      <c r="H66" s="213"/>
      <c r="I66" s="163"/>
      <c r="J66" s="202">
        <f>F66*H66</f>
        <v>0</v>
      </c>
      <c r="K66" s="242"/>
    </row>
    <row r="67" spans="1:11">
      <c r="A67" s="172"/>
      <c r="B67" s="173"/>
      <c r="C67" s="173"/>
      <c r="D67" s="179"/>
      <c r="E67" s="179"/>
      <c r="F67" s="170"/>
      <c r="G67" s="171"/>
      <c r="H67" s="150"/>
      <c r="I67" s="163"/>
      <c r="J67" s="198"/>
      <c r="K67" s="242"/>
    </row>
    <row r="68" spans="1:11">
      <c r="A68" s="172" t="s">
        <v>63</v>
      </c>
      <c r="B68" s="173" t="s">
        <v>34</v>
      </c>
      <c r="C68" s="173"/>
      <c r="D68" s="251" t="s">
        <v>190</v>
      </c>
      <c r="E68" s="179"/>
      <c r="F68" s="175">
        <f>F55+F58</f>
        <v>10</v>
      </c>
      <c r="G68" s="167"/>
      <c r="H68" s="213"/>
      <c r="I68" s="163"/>
      <c r="J68" s="202">
        <f>F68*H68</f>
        <v>0</v>
      </c>
      <c r="K68" s="242"/>
    </row>
    <row r="69" spans="1:11">
      <c r="A69" s="172"/>
      <c r="B69" s="173"/>
      <c r="C69" s="173"/>
      <c r="D69" s="179"/>
      <c r="E69" s="179"/>
      <c r="F69" s="170"/>
      <c r="G69" s="171"/>
      <c r="H69" s="150"/>
      <c r="I69" s="163"/>
      <c r="J69" s="198"/>
      <c r="K69" s="242"/>
    </row>
    <row r="70" spans="1:11" ht="25.5">
      <c r="A70" s="172" t="s">
        <v>67</v>
      </c>
      <c r="B70" s="173" t="s">
        <v>35</v>
      </c>
      <c r="C70" s="173"/>
      <c r="D70" s="251" t="s">
        <v>60</v>
      </c>
      <c r="E70" s="179"/>
      <c r="F70" s="175">
        <f>F9</f>
        <v>256.90999999999997</v>
      </c>
      <c r="G70" s="167"/>
      <c r="H70" s="213"/>
      <c r="I70" s="163"/>
      <c r="J70" s="202">
        <f>F70*H70</f>
        <v>0</v>
      </c>
      <c r="K70" s="242"/>
    </row>
    <row r="71" spans="1:11">
      <c r="A71" s="172"/>
      <c r="B71" s="173"/>
      <c r="C71" s="173"/>
      <c r="D71" s="179"/>
      <c r="E71" s="179"/>
      <c r="F71" s="170"/>
      <c r="G71" s="171"/>
      <c r="H71" s="150"/>
      <c r="I71" s="163"/>
      <c r="J71" s="198"/>
      <c r="K71" s="242"/>
    </row>
    <row r="72" spans="1:11" ht="13.5" thickBot="1">
      <c r="A72" s="183"/>
      <c r="B72" s="252" t="s">
        <v>36</v>
      </c>
      <c r="C72" s="252"/>
      <c r="D72" s="253"/>
      <c r="E72" s="253"/>
      <c r="F72" s="234"/>
      <c r="G72" s="235"/>
      <c r="H72" s="254"/>
      <c r="I72" s="236"/>
      <c r="J72" s="189">
        <f>SUM(J64:J70)</f>
        <v>0</v>
      </c>
      <c r="K72" s="242"/>
    </row>
    <row r="73" spans="1:11" ht="13.5" thickTop="1">
      <c r="A73" s="190"/>
      <c r="B73" s="255"/>
      <c r="C73" s="255"/>
      <c r="D73" s="256"/>
      <c r="E73" s="256"/>
      <c r="F73" s="166"/>
      <c r="G73" s="167"/>
      <c r="H73" s="168"/>
      <c r="I73" s="169"/>
      <c r="J73" s="194"/>
      <c r="K73" s="242"/>
    </row>
    <row r="74" spans="1:11">
      <c r="A74" s="190"/>
      <c r="B74" s="255"/>
      <c r="C74" s="255"/>
      <c r="D74" s="256"/>
      <c r="E74" s="256"/>
      <c r="F74" s="166"/>
      <c r="G74" s="167"/>
      <c r="H74" s="168"/>
      <c r="I74" s="169"/>
      <c r="J74" s="194"/>
      <c r="K74" s="242"/>
    </row>
    <row r="75" spans="1:11">
      <c r="A75" s="190"/>
      <c r="B75" s="255"/>
      <c r="C75" s="255"/>
      <c r="D75" s="256"/>
      <c r="E75" s="256"/>
      <c r="F75" s="166"/>
      <c r="G75" s="167"/>
      <c r="H75" s="150"/>
      <c r="I75" s="163"/>
      <c r="J75" s="198"/>
      <c r="K75" s="242"/>
    </row>
    <row r="76" spans="1:11">
      <c r="A76" s="190"/>
      <c r="B76" s="255"/>
      <c r="C76" s="255"/>
      <c r="D76" s="256"/>
      <c r="E76" s="256"/>
      <c r="F76" s="166"/>
      <c r="G76" s="167"/>
      <c r="H76" s="150"/>
      <c r="I76" s="163"/>
      <c r="J76" s="198"/>
      <c r="K76" s="242"/>
    </row>
    <row r="77" spans="1:11">
      <c r="A77" s="190"/>
      <c r="B77" s="255"/>
      <c r="C77" s="255"/>
      <c r="D77" s="256"/>
      <c r="E77" s="256"/>
      <c r="F77" s="166"/>
      <c r="G77" s="167"/>
      <c r="H77" s="150"/>
      <c r="I77" s="163"/>
      <c r="J77" s="198"/>
      <c r="K77" s="242"/>
    </row>
    <row r="78" spans="1:11">
      <c r="A78" s="190"/>
      <c r="B78" s="255"/>
      <c r="C78" s="255"/>
      <c r="D78" s="256"/>
      <c r="E78" s="256"/>
      <c r="F78" s="166"/>
      <c r="G78" s="167"/>
      <c r="H78" s="150"/>
      <c r="I78" s="163"/>
      <c r="J78" s="198"/>
      <c r="K78" s="242"/>
    </row>
    <row r="79" spans="1:11">
      <c r="A79" s="190"/>
      <c r="B79" s="255"/>
      <c r="C79" s="255"/>
      <c r="D79" s="256"/>
      <c r="E79" s="256"/>
      <c r="F79" s="166"/>
      <c r="G79" s="167"/>
      <c r="H79" s="150"/>
      <c r="I79" s="163"/>
      <c r="J79" s="198"/>
      <c r="K79" s="242"/>
    </row>
    <row r="80" spans="1:11">
      <c r="A80" s="190"/>
      <c r="B80" s="255"/>
      <c r="C80" s="255"/>
      <c r="D80" s="256"/>
      <c r="E80" s="256"/>
      <c r="F80" s="166"/>
      <c r="G80" s="167"/>
      <c r="H80" s="150"/>
      <c r="I80" s="163"/>
      <c r="J80" s="198"/>
      <c r="K80" s="242"/>
    </row>
    <row r="81" spans="1:18">
      <c r="A81" s="190"/>
      <c r="B81" s="255"/>
      <c r="C81" s="255"/>
      <c r="D81" s="256"/>
      <c r="E81" s="256"/>
      <c r="F81" s="166"/>
      <c r="G81" s="167"/>
      <c r="H81" s="150"/>
      <c r="I81" s="163"/>
      <c r="J81" s="198"/>
      <c r="K81" s="242"/>
    </row>
    <row r="82" spans="1:18">
      <c r="A82" s="172"/>
      <c r="B82" s="258"/>
      <c r="C82" s="258"/>
      <c r="D82" s="257"/>
      <c r="E82" s="257"/>
      <c r="F82" s="170"/>
      <c r="G82" s="171"/>
      <c r="H82" s="150"/>
      <c r="I82" s="163"/>
      <c r="J82" s="198"/>
      <c r="K82" s="242"/>
    </row>
    <row r="83" spans="1:18">
      <c r="B83" s="242"/>
      <c r="C83" s="242"/>
      <c r="D83" s="242"/>
      <c r="E83" s="242"/>
      <c r="F83" s="206"/>
      <c r="G83" s="242"/>
      <c r="H83" s="260"/>
      <c r="I83" s="261"/>
      <c r="J83" s="262"/>
      <c r="K83" s="242"/>
    </row>
    <row r="84" spans="1:18">
      <c r="B84" s="242"/>
      <c r="C84" s="242"/>
      <c r="D84" s="242"/>
      <c r="E84" s="242"/>
      <c r="F84" s="206"/>
      <c r="G84" s="242"/>
      <c r="H84" s="260"/>
      <c r="I84" s="261"/>
      <c r="J84" s="262"/>
      <c r="K84" s="242"/>
    </row>
    <row r="85" spans="1:18">
      <c r="B85" s="242"/>
      <c r="C85" s="242"/>
      <c r="D85" s="242"/>
      <c r="E85" s="242"/>
      <c r="F85" s="206"/>
      <c r="G85" s="242"/>
      <c r="H85" s="260"/>
      <c r="I85" s="261"/>
      <c r="J85" s="262"/>
      <c r="K85" s="242"/>
    </row>
    <row r="86" spans="1:18">
      <c r="B86" s="242"/>
      <c r="C86" s="242"/>
      <c r="D86" s="242"/>
      <c r="E86" s="242"/>
      <c r="F86" s="206"/>
      <c r="G86" s="242"/>
      <c r="H86" s="260"/>
      <c r="I86" s="261"/>
      <c r="J86" s="262"/>
      <c r="K86" s="242"/>
    </row>
    <row r="87" spans="1:18">
      <c r="B87" s="242"/>
      <c r="C87" s="242"/>
      <c r="D87" s="242"/>
      <c r="E87" s="242"/>
      <c r="F87" s="206"/>
      <c r="G87" s="242"/>
      <c r="H87" s="260"/>
      <c r="I87" s="261"/>
      <c r="J87" s="262"/>
      <c r="K87" s="242"/>
      <c r="Q87" s="259"/>
      <c r="R87" s="259"/>
    </row>
    <row r="88" spans="1:18">
      <c r="B88" s="242"/>
      <c r="C88" s="242"/>
      <c r="D88" s="242"/>
      <c r="E88" s="242"/>
      <c r="F88" s="206"/>
      <c r="G88" s="242"/>
      <c r="H88" s="260"/>
      <c r="I88" s="261"/>
      <c r="J88" s="262"/>
      <c r="K88" s="242"/>
      <c r="Q88" s="259"/>
      <c r="R88" s="259"/>
    </row>
    <row r="89" spans="1:18">
      <c r="B89" s="242"/>
      <c r="C89" s="242"/>
      <c r="D89" s="242"/>
      <c r="E89" s="242"/>
      <c r="F89" s="206"/>
      <c r="G89" s="242"/>
      <c r="H89" s="260"/>
      <c r="I89" s="261"/>
      <c r="J89" s="262"/>
      <c r="K89" s="242"/>
      <c r="Q89" s="259"/>
      <c r="R89" s="259"/>
    </row>
    <row r="90" spans="1:18">
      <c r="B90" s="242"/>
      <c r="C90" s="242"/>
      <c r="D90" s="242"/>
      <c r="E90" s="242"/>
      <c r="F90" s="206"/>
      <c r="G90" s="242"/>
      <c r="H90" s="260"/>
      <c r="I90" s="261"/>
      <c r="J90" s="262"/>
      <c r="K90" s="242"/>
      <c r="Q90" s="259"/>
      <c r="R90" s="259"/>
    </row>
    <row r="91" spans="1:18">
      <c r="B91" s="242"/>
      <c r="C91" s="242"/>
      <c r="D91" s="242"/>
      <c r="E91" s="242"/>
      <c r="F91" s="206"/>
      <c r="G91" s="242"/>
      <c r="H91" s="260"/>
      <c r="I91" s="261"/>
      <c r="J91" s="262"/>
      <c r="K91" s="242"/>
      <c r="Q91" s="259"/>
      <c r="R91" s="259"/>
    </row>
    <row r="92" spans="1:18">
      <c r="B92" s="242"/>
      <c r="C92" s="242"/>
      <c r="D92" s="242"/>
      <c r="E92" s="242"/>
      <c r="F92" s="206"/>
      <c r="G92" s="242"/>
      <c r="H92" s="260"/>
      <c r="I92" s="261"/>
      <c r="J92" s="262"/>
      <c r="K92" s="242"/>
      <c r="Q92" s="259"/>
      <c r="R92" s="259"/>
    </row>
    <row r="93" spans="1:18">
      <c r="B93" s="242"/>
      <c r="C93" s="242"/>
      <c r="D93" s="242"/>
      <c r="E93" s="242"/>
      <c r="F93" s="206"/>
      <c r="G93" s="242"/>
      <c r="H93" s="260"/>
      <c r="I93" s="261"/>
      <c r="J93" s="262"/>
      <c r="K93" s="242"/>
      <c r="Q93" s="259"/>
      <c r="R93" s="259"/>
    </row>
    <row r="94" spans="1:18">
      <c r="B94" s="242"/>
      <c r="C94" s="242"/>
      <c r="D94" s="242"/>
      <c r="E94" s="242"/>
      <c r="F94" s="206"/>
      <c r="G94" s="242"/>
      <c r="H94" s="260"/>
      <c r="I94" s="261"/>
      <c r="J94" s="262"/>
      <c r="K94" s="242"/>
      <c r="Q94" s="259"/>
      <c r="R94" s="259"/>
    </row>
    <row r="95" spans="1:18">
      <c r="B95" s="242"/>
      <c r="C95" s="242"/>
      <c r="D95" s="242"/>
      <c r="E95" s="242"/>
      <c r="F95" s="206"/>
      <c r="G95" s="242"/>
      <c r="H95" s="260"/>
      <c r="I95" s="261"/>
      <c r="J95" s="262"/>
      <c r="K95" s="242"/>
      <c r="Q95" s="259"/>
      <c r="R95" s="259"/>
    </row>
    <row r="96" spans="1:18">
      <c r="B96" s="242"/>
      <c r="C96" s="242"/>
      <c r="D96" s="242"/>
      <c r="E96" s="242"/>
      <c r="F96" s="206"/>
      <c r="G96" s="242"/>
      <c r="H96" s="260"/>
      <c r="I96" s="261"/>
      <c r="J96" s="262"/>
      <c r="K96" s="242"/>
      <c r="Q96" s="259"/>
      <c r="R96" s="259"/>
    </row>
    <row r="97" spans="2:18">
      <c r="B97" s="242"/>
      <c r="C97" s="242"/>
      <c r="D97" s="242"/>
      <c r="E97" s="242"/>
      <c r="F97" s="206"/>
      <c r="G97" s="242"/>
      <c r="H97" s="260"/>
      <c r="I97" s="261"/>
      <c r="J97" s="262"/>
      <c r="K97" s="263"/>
      <c r="L97" s="263"/>
      <c r="M97" s="264"/>
      <c r="Q97" s="259"/>
      <c r="R97" s="259"/>
    </row>
    <row r="98" spans="2:18">
      <c r="B98" s="242"/>
      <c r="C98" s="242"/>
      <c r="D98" s="242"/>
      <c r="E98" s="242"/>
      <c r="F98" s="206"/>
      <c r="G98" s="242"/>
      <c r="H98" s="260"/>
      <c r="I98" s="261"/>
      <c r="J98" s="262"/>
      <c r="K98" s="265"/>
      <c r="L98" s="265"/>
      <c r="M98" s="264"/>
    </row>
    <row r="99" spans="2:18">
      <c r="B99" s="242"/>
      <c r="C99" s="242"/>
      <c r="D99" s="242"/>
      <c r="E99" s="242"/>
      <c r="F99" s="206"/>
      <c r="G99" s="242"/>
      <c r="H99" s="260"/>
      <c r="I99" s="261"/>
      <c r="J99" s="262"/>
      <c r="K99" s="261"/>
      <c r="L99" s="261"/>
      <c r="M99" s="264"/>
    </row>
    <row r="100" spans="2:18">
      <c r="B100" s="242"/>
      <c r="C100" s="242"/>
      <c r="D100" s="242"/>
      <c r="E100" s="242"/>
      <c r="F100" s="206"/>
      <c r="G100" s="242"/>
      <c r="H100" s="260"/>
      <c r="I100" s="261"/>
      <c r="J100" s="262"/>
      <c r="K100" s="242"/>
    </row>
    <row r="101" spans="2:18">
      <c r="B101" s="242"/>
      <c r="C101" s="242"/>
      <c r="D101" s="242"/>
      <c r="E101" s="242"/>
      <c r="F101" s="206"/>
      <c r="G101" s="242"/>
      <c r="H101" s="260"/>
      <c r="I101" s="261"/>
      <c r="J101" s="262"/>
      <c r="K101" s="242"/>
    </row>
    <row r="102" spans="2:18">
      <c r="B102" s="242"/>
      <c r="C102" s="242"/>
      <c r="D102" s="242"/>
      <c r="E102" s="242"/>
      <c r="F102" s="206"/>
      <c r="G102" s="242"/>
      <c r="H102" s="260"/>
      <c r="I102" s="261"/>
      <c r="J102" s="262"/>
      <c r="K102" s="242"/>
    </row>
    <row r="103" spans="2:18">
      <c r="B103" s="242"/>
      <c r="C103" s="242"/>
      <c r="D103" s="242"/>
      <c r="E103" s="242"/>
      <c r="F103" s="206"/>
      <c r="G103" s="242"/>
      <c r="H103" s="260"/>
      <c r="I103" s="261"/>
      <c r="J103" s="262"/>
      <c r="K103" s="242"/>
    </row>
    <row r="104" spans="2:18">
      <c r="B104" s="242"/>
      <c r="C104" s="242"/>
      <c r="D104" s="242"/>
      <c r="E104" s="242"/>
      <c r="F104" s="206"/>
      <c r="G104" s="242"/>
      <c r="H104" s="260"/>
      <c r="I104" s="261"/>
      <c r="J104" s="262"/>
      <c r="K104" s="242"/>
    </row>
    <row r="105" spans="2:18">
      <c r="B105" s="242"/>
      <c r="C105" s="242"/>
      <c r="D105" s="242"/>
      <c r="E105" s="242"/>
      <c r="F105" s="206"/>
      <c r="G105" s="242"/>
      <c r="H105" s="260"/>
      <c r="I105" s="261"/>
      <c r="J105" s="262"/>
      <c r="K105" s="242"/>
    </row>
    <row r="106" spans="2:18">
      <c r="B106" s="242"/>
      <c r="C106" s="242"/>
      <c r="D106" s="242"/>
      <c r="E106" s="242"/>
      <c r="F106" s="206"/>
      <c r="G106" s="242"/>
      <c r="H106" s="260"/>
      <c r="I106" s="261"/>
      <c r="J106" s="262"/>
      <c r="K106" s="242"/>
    </row>
    <row r="107" spans="2:18">
      <c r="B107" s="242"/>
      <c r="C107" s="242"/>
      <c r="D107" s="242"/>
      <c r="E107" s="242"/>
      <c r="F107" s="206"/>
      <c r="G107" s="242"/>
      <c r="H107" s="260"/>
      <c r="I107" s="261"/>
      <c r="J107" s="262"/>
      <c r="K107" s="242"/>
    </row>
    <row r="108" spans="2:18">
      <c r="B108" s="242"/>
      <c r="C108" s="242"/>
      <c r="D108" s="242"/>
      <c r="E108" s="242"/>
      <c r="F108" s="206"/>
      <c r="G108" s="242"/>
      <c r="H108" s="260"/>
      <c r="I108" s="261"/>
      <c r="J108" s="262"/>
      <c r="K108" s="242"/>
    </row>
    <row r="109" spans="2:18">
      <c r="B109" s="242"/>
      <c r="C109" s="242"/>
      <c r="D109" s="242"/>
      <c r="E109" s="242"/>
      <c r="F109" s="206"/>
      <c r="G109" s="242"/>
      <c r="H109" s="260"/>
      <c r="I109" s="261"/>
      <c r="J109" s="262"/>
      <c r="K109" s="242"/>
    </row>
    <row r="110" spans="2:18">
      <c r="B110" s="242"/>
      <c r="C110" s="242"/>
      <c r="D110" s="242"/>
      <c r="E110" s="242"/>
      <c r="F110" s="206"/>
      <c r="G110" s="242"/>
      <c r="H110" s="260"/>
      <c r="I110" s="261"/>
      <c r="J110" s="262"/>
      <c r="K110" s="242"/>
    </row>
    <row r="111" spans="2:18">
      <c r="B111" s="242"/>
      <c r="C111" s="242"/>
      <c r="D111" s="242"/>
      <c r="E111" s="242"/>
      <c r="F111" s="206"/>
      <c r="G111" s="242"/>
      <c r="H111" s="260"/>
      <c r="I111" s="261"/>
      <c r="J111" s="262"/>
      <c r="K111" s="242"/>
    </row>
    <row r="112" spans="2:18">
      <c r="B112" s="242"/>
      <c r="C112" s="242"/>
      <c r="D112" s="242"/>
      <c r="E112" s="242"/>
      <c r="F112" s="206"/>
      <c r="G112" s="242"/>
      <c r="H112" s="260"/>
      <c r="I112" s="261"/>
      <c r="J112" s="262"/>
      <c r="K112" s="242"/>
    </row>
    <row r="113" spans="2:11">
      <c r="B113" s="242"/>
      <c r="C113" s="242"/>
      <c r="D113" s="242"/>
      <c r="E113" s="242"/>
      <c r="F113" s="206"/>
      <c r="G113" s="242"/>
      <c r="H113" s="260"/>
      <c r="I113" s="261"/>
      <c r="J113" s="262"/>
      <c r="K113" s="242"/>
    </row>
    <row r="114" spans="2:11">
      <c r="B114" s="242"/>
      <c r="C114" s="242"/>
      <c r="D114" s="242"/>
      <c r="E114" s="242"/>
      <c r="F114" s="206"/>
      <c r="G114" s="242"/>
      <c r="H114" s="260"/>
      <c r="I114" s="261"/>
      <c r="J114" s="262"/>
      <c r="K114" s="242"/>
    </row>
    <row r="115" spans="2:11">
      <c r="B115" s="242"/>
      <c r="C115" s="242"/>
      <c r="D115" s="242"/>
      <c r="E115" s="242"/>
      <c r="F115" s="206"/>
      <c r="G115" s="242"/>
      <c r="H115" s="260"/>
      <c r="I115" s="261"/>
      <c r="J115" s="262"/>
      <c r="K115" s="242"/>
    </row>
    <row r="116" spans="2:11">
      <c r="B116" s="242"/>
      <c r="C116" s="242"/>
      <c r="D116" s="242"/>
      <c r="E116" s="242"/>
      <c r="F116" s="206"/>
      <c r="G116" s="242"/>
      <c r="H116" s="260"/>
      <c r="I116" s="261"/>
      <c r="J116" s="262"/>
      <c r="K116" s="242"/>
    </row>
    <row r="117" spans="2:11">
      <c r="B117" s="242"/>
      <c r="C117" s="242"/>
      <c r="D117" s="242"/>
      <c r="E117" s="242"/>
      <c r="F117" s="206"/>
      <c r="G117" s="242"/>
      <c r="H117" s="260"/>
      <c r="I117" s="261"/>
      <c r="J117" s="262"/>
      <c r="K117" s="242"/>
    </row>
    <row r="118" spans="2:11">
      <c r="B118" s="242"/>
      <c r="C118" s="242"/>
      <c r="D118" s="242"/>
      <c r="E118" s="242"/>
      <c r="F118" s="206"/>
      <c r="G118" s="242"/>
      <c r="H118" s="260"/>
      <c r="I118" s="261"/>
      <c r="J118" s="262"/>
      <c r="K118" s="242"/>
    </row>
    <row r="119" spans="2:11">
      <c r="B119" s="242"/>
      <c r="C119" s="242"/>
      <c r="D119" s="242"/>
      <c r="E119" s="242"/>
      <c r="F119" s="206"/>
      <c r="G119" s="242"/>
      <c r="H119" s="260"/>
      <c r="I119" s="261"/>
      <c r="J119" s="262"/>
      <c r="K119" s="242"/>
    </row>
    <row r="120" spans="2:11">
      <c r="B120" s="242"/>
      <c r="C120" s="242"/>
      <c r="D120" s="242"/>
      <c r="E120" s="242"/>
      <c r="F120" s="206"/>
      <c r="G120" s="242"/>
      <c r="H120" s="260"/>
      <c r="I120" s="261"/>
      <c r="J120" s="262"/>
      <c r="K120" s="242"/>
    </row>
    <row r="121" spans="2:11">
      <c r="B121" s="242"/>
      <c r="C121" s="242"/>
      <c r="D121" s="242"/>
      <c r="E121" s="242"/>
      <c r="F121" s="206"/>
      <c r="G121" s="242"/>
      <c r="H121" s="260"/>
      <c r="I121" s="261"/>
      <c r="J121" s="262"/>
      <c r="K121" s="242"/>
    </row>
    <row r="122" spans="2:11">
      <c r="D122" s="242"/>
      <c r="E122" s="242"/>
      <c r="F122" s="206"/>
      <c r="G122" s="242"/>
      <c r="H122" s="260"/>
      <c r="I122" s="261"/>
      <c r="J122" s="262"/>
      <c r="K122" s="242"/>
    </row>
    <row r="123" spans="2:11">
      <c r="D123" s="242"/>
      <c r="E123" s="242"/>
      <c r="F123" s="206"/>
      <c r="G123" s="242"/>
      <c r="H123" s="260"/>
      <c r="I123" s="261"/>
      <c r="J123" s="262"/>
      <c r="K123" s="242"/>
    </row>
    <row r="124" spans="2:11">
      <c r="D124" s="242"/>
      <c r="E124" s="242"/>
      <c r="F124" s="206"/>
      <c r="G124" s="242"/>
      <c r="H124" s="260"/>
      <c r="I124" s="261"/>
      <c r="J124" s="262"/>
      <c r="K124" s="242"/>
    </row>
    <row r="125" spans="2:11">
      <c r="D125" s="242"/>
      <c r="E125" s="242"/>
      <c r="F125" s="206"/>
      <c r="G125" s="242"/>
      <c r="H125" s="260"/>
      <c r="I125" s="261"/>
      <c r="J125" s="262"/>
      <c r="K125" s="242"/>
    </row>
    <row r="126" spans="2:11">
      <c r="D126" s="242"/>
      <c r="E126" s="242"/>
      <c r="F126" s="206"/>
      <c r="G126" s="242"/>
      <c r="H126" s="260"/>
      <c r="I126" s="261"/>
      <c r="J126" s="262"/>
      <c r="K126" s="242"/>
    </row>
    <row r="127" spans="2:11">
      <c r="D127" s="242"/>
      <c r="E127" s="242"/>
      <c r="F127" s="206"/>
      <c r="G127" s="242"/>
      <c r="H127" s="260"/>
      <c r="I127" s="261"/>
      <c r="J127" s="262"/>
      <c r="K127" s="242"/>
    </row>
    <row r="128" spans="2:11">
      <c r="D128" s="242"/>
      <c r="E128" s="242"/>
      <c r="F128" s="206"/>
      <c r="G128" s="242"/>
      <c r="H128" s="260"/>
      <c r="I128" s="261"/>
      <c r="J128" s="262"/>
      <c r="K128" s="242"/>
    </row>
    <row r="129" spans="4:11">
      <c r="D129" s="242"/>
      <c r="E129" s="242"/>
      <c r="F129" s="206"/>
      <c r="G129" s="242"/>
      <c r="H129" s="260"/>
      <c r="I129" s="261"/>
      <c r="J129" s="262"/>
      <c r="K129" s="242"/>
    </row>
    <row r="130" spans="4:11">
      <c r="D130" s="242"/>
      <c r="E130" s="242"/>
      <c r="F130" s="206"/>
      <c r="G130" s="242"/>
      <c r="H130" s="260"/>
      <c r="I130" s="261"/>
      <c r="J130" s="262"/>
      <c r="K130" s="242"/>
    </row>
    <row r="131" spans="4:11">
      <c r="D131" s="242"/>
      <c r="E131" s="242"/>
      <c r="F131" s="206"/>
      <c r="G131" s="242"/>
      <c r="H131" s="260"/>
      <c r="I131" s="261"/>
      <c r="J131" s="262"/>
      <c r="K131" s="242"/>
    </row>
    <row r="132" spans="4:11">
      <c r="D132" s="242"/>
      <c r="E132" s="242"/>
      <c r="F132" s="206"/>
      <c r="G132" s="242"/>
      <c r="H132" s="260"/>
      <c r="I132" s="261"/>
      <c r="J132" s="262"/>
      <c r="K132" s="242"/>
    </row>
    <row r="133" spans="4:11">
      <c r="D133" s="242"/>
      <c r="E133" s="242"/>
      <c r="F133" s="206"/>
      <c r="G133" s="242"/>
      <c r="H133" s="260"/>
      <c r="I133" s="261"/>
      <c r="J133" s="262"/>
      <c r="K133" s="242"/>
    </row>
    <row r="134" spans="4:11">
      <c r="D134" s="242"/>
      <c r="E134" s="242"/>
      <c r="F134" s="206"/>
      <c r="G134" s="242"/>
      <c r="H134" s="260"/>
      <c r="I134" s="261"/>
      <c r="J134" s="262"/>
      <c r="K134" s="242"/>
    </row>
    <row r="135" spans="4:11">
      <c r="D135" s="242"/>
      <c r="E135" s="242"/>
      <c r="F135" s="206"/>
      <c r="G135" s="242"/>
      <c r="H135" s="260"/>
      <c r="I135" s="261"/>
      <c r="J135" s="262"/>
      <c r="K135" s="242"/>
    </row>
    <row r="136" spans="4:11">
      <c r="D136" s="242"/>
      <c r="E136" s="242"/>
      <c r="F136" s="206"/>
      <c r="G136" s="242"/>
      <c r="H136" s="260"/>
      <c r="I136" s="261"/>
      <c r="J136" s="262"/>
      <c r="K136" s="242"/>
    </row>
    <row r="137" spans="4:11">
      <c r="D137" s="242"/>
      <c r="E137" s="242"/>
      <c r="F137" s="206"/>
      <c r="G137" s="242"/>
      <c r="H137" s="260"/>
      <c r="I137" s="261"/>
      <c r="J137" s="262"/>
      <c r="K137" s="242"/>
    </row>
    <row r="138" spans="4:11">
      <c r="D138" s="242"/>
      <c r="E138" s="242"/>
      <c r="F138" s="206"/>
      <c r="G138" s="242"/>
      <c r="H138" s="260"/>
      <c r="I138" s="261"/>
      <c r="J138" s="262"/>
      <c r="K138" s="242"/>
    </row>
    <row r="139" spans="4:11">
      <c r="D139" s="242"/>
      <c r="E139" s="242"/>
      <c r="F139" s="206"/>
      <c r="G139" s="242"/>
      <c r="H139" s="260"/>
      <c r="I139" s="261"/>
      <c r="J139" s="262"/>
    </row>
    <row r="140" spans="4:11">
      <c r="D140" s="242"/>
      <c r="E140" s="242"/>
      <c r="F140" s="206"/>
      <c r="G140" s="242"/>
      <c r="H140" s="260"/>
      <c r="I140" s="261"/>
      <c r="J140" s="262"/>
    </row>
    <row r="141" spans="4:11">
      <c r="D141" s="242"/>
      <c r="E141" s="242"/>
      <c r="F141" s="206"/>
      <c r="G141" s="242"/>
      <c r="H141" s="260"/>
      <c r="I141" s="261"/>
      <c r="J141" s="262"/>
    </row>
    <row r="142" spans="4:11">
      <c r="D142" s="242"/>
      <c r="E142" s="242"/>
      <c r="F142" s="206"/>
      <c r="G142" s="242"/>
      <c r="H142" s="260"/>
      <c r="I142" s="261"/>
      <c r="J142" s="262"/>
    </row>
    <row r="143" spans="4:11">
      <c r="D143" s="242"/>
      <c r="E143" s="242"/>
      <c r="F143" s="206"/>
      <c r="G143" s="242"/>
      <c r="H143" s="260"/>
      <c r="I143" s="261"/>
      <c r="J143" s="262"/>
    </row>
    <row r="144" spans="4:11">
      <c r="D144" s="242"/>
      <c r="E144" s="242"/>
      <c r="F144" s="206"/>
      <c r="G144" s="242"/>
      <c r="H144" s="260"/>
      <c r="I144" s="261"/>
      <c r="J144" s="262"/>
    </row>
    <row r="145" spans="4:10">
      <c r="D145" s="242"/>
      <c r="E145" s="242"/>
      <c r="F145" s="206"/>
      <c r="G145" s="242"/>
      <c r="H145" s="260"/>
      <c r="I145" s="261"/>
      <c r="J145" s="262"/>
    </row>
    <row r="146" spans="4:10">
      <c r="D146" s="242"/>
      <c r="E146" s="242"/>
      <c r="F146" s="206"/>
      <c r="G146" s="242"/>
      <c r="H146" s="260"/>
      <c r="I146" s="266"/>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62"/>
    </row>
    <row r="184" spans="4:10">
      <c r="D184" s="242"/>
      <c r="E184" s="242"/>
      <c r="F184" s="206"/>
      <c r="G184" s="242"/>
      <c r="H184" s="260"/>
      <c r="I184" s="266"/>
      <c r="J184" s="262"/>
    </row>
    <row r="185" spans="4:10">
      <c r="D185" s="242"/>
      <c r="E185" s="242"/>
      <c r="F185" s="206"/>
      <c r="G185" s="242"/>
      <c r="H185" s="260"/>
      <c r="I185" s="266"/>
      <c r="J185" s="262"/>
    </row>
    <row r="186" spans="4:10">
      <c r="D186" s="242"/>
      <c r="E186" s="242"/>
      <c r="F186" s="206"/>
      <c r="G186" s="242"/>
      <c r="H186" s="260"/>
      <c r="I186" s="266"/>
      <c r="J186" s="262"/>
    </row>
    <row r="187" spans="4:10">
      <c r="D187" s="242"/>
      <c r="E187" s="242"/>
      <c r="F187" s="206"/>
      <c r="G187" s="242"/>
      <c r="H187" s="260"/>
      <c r="I187" s="266"/>
      <c r="J187" s="262"/>
    </row>
    <row r="188" spans="4:10">
      <c r="D188" s="242"/>
      <c r="E188" s="242"/>
      <c r="F188" s="206"/>
      <c r="G188" s="242"/>
      <c r="H188" s="260"/>
      <c r="I188" s="266"/>
      <c r="J188" s="262"/>
    </row>
    <row r="189" spans="4:10">
      <c r="D189" s="242"/>
      <c r="E189" s="242"/>
      <c r="F189" s="206"/>
      <c r="G189" s="242"/>
      <c r="H189" s="260"/>
      <c r="I189" s="266"/>
      <c r="J189" s="262"/>
    </row>
    <row r="190" spans="4:10">
      <c r="D190" s="242"/>
      <c r="E190" s="242"/>
      <c r="F190" s="206"/>
      <c r="G190" s="242"/>
      <c r="H190" s="260"/>
      <c r="I190" s="266"/>
      <c r="J190" s="262"/>
    </row>
    <row r="191" spans="4:10">
      <c r="D191" s="242"/>
      <c r="E191" s="242"/>
      <c r="F191" s="206"/>
      <c r="G191" s="242"/>
      <c r="H191" s="260"/>
      <c r="I191" s="266"/>
      <c r="J191" s="206"/>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60"/>
      <c r="I253" s="266"/>
      <c r="J253" s="206"/>
    </row>
    <row r="254" spans="4:10">
      <c r="D254" s="242"/>
      <c r="E254" s="242"/>
      <c r="F254" s="206"/>
      <c r="G254" s="242"/>
      <c r="H254" s="260"/>
      <c r="I254" s="266"/>
      <c r="J254" s="206"/>
    </row>
    <row r="255" spans="4:10">
      <c r="D255" s="242"/>
      <c r="E255" s="242"/>
      <c r="F255" s="206"/>
      <c r="G255" s="242"/>
      <c r="H255" s="260"/>
      <c r="I255" s="266"/>
      <c r="J255" s="206"/>
    </row>
    <row r="256" spans="4:10">
      <c r="D256" s="242"/>
      <c r="E256" s="242"/>
      <c r="F256" s="206"/>
      <c r="G256" s="242"/>
      <c r="H256" s="260"/>
      <c r="I256" s="266"/>
      <c r="J256" s="206"/>
    </row>
    <row r="257" spans="4:10">
      <c r="D257" s="242"/>
      <c r="E257" s="242"/>
      <c r="F257" s="206"/>
      <c r="G257" s="242"/>
      <c r="H257" s="260"/>
      <c r="I257" s="266"/>
      <c r="J257" s="206"/>
    </row>
    <row r="258" spans="4:10">
      <c r="D258" s="242"/>
      <c r="E258" s="242"/>
      <c r="F258" s="206"/>
      <c r="G258" s="242"/>
      <c r="H258" s="260"/>
      <c r="I258" s="266"/>
      <c r="J258" s="206"/>
    </row>
    <row r="259" spans="4:10">
      <c r="D259" s="242"/>
      <c r="E259" s="242"/>
      <c r="F259" s="206"/>
      <c r="G259" s="242"/>
      <c r="H259" s="260"/>
      <c r="I259" s="266"/>
      <c r="J259" s="206"/>
    </row>
    <row r="260" spans="4:10">
      <c r="D260" s="242"/>
      <c r="E260" s="242"/>
      <c r="F260" s="206"/>
      <c r="G260" s="242"/>
      <c r="H260" s="260"/>
      <c r="I260" s="266"/>
      <c r="J260" s="206"/>
    </row>
    <row r="261" spans="4:10">
      <c r="D261" s="242"/>
      <c r="E261" s="242"/>
      <c r="F261" s="206"/>
      <c r="G261" s="242"/>
      <c r="H261" s="206"/>
      <c r="I261" s="266"/>
      <c r="J261" s="206"/>
    </row>
    <row r="262" spans="4:10">
      <c r="D262" s="242"/>
      <c r="E262" s="242"/>
      <c r="F262" s="206"/>
      <c r="G262" s="242"/>
      <c r="H262" s="206"/>
      <c r="I262" s="266"/>
      <c r="J262" s="206"/>
    </row>
    <row r="263" spans="4:10">
      <c r="D263" s="242"/>
      <c r="E263" s="242"/>
      <c r="F263" s="206"/>
      <c r="G263" s="242"/>
      <c r="H263" s="206"/>
      <c r="I263" s="266"/>
      <c r="J263" s="206"/>
    </row>
    <row r="264" spans="4:10">
      <c r="D264" s="242"/>
      <c r="E264" s="242"/>
      <c r="F264" s="206"/>
      <c r="G264" s="242"/>
      <c r="H264" s="206"/>
      <c r="I264" s="266"/>
      <c r="J264" s="206"/>
    </row>
    <row r="265" spans="4:10">
      <c r="D265" s="242"/>
      <c r="E265" s="242"/>
      <c r="F265" s="206"/>
      <c r="G265" s="242"/>
      <c r="H265" s="206"/>
      <c r="I265" s="266"/>
      <c r="J265" s="206"/>
    </row>
    <row r="266" spans="4:10">
      <c r="D266" s="242"/>
      <c r="E266" s="242"/>
      <c r="F266" s="206"/>
      <c r="G266" s="242"/>
      <c r="H266" s="206"/>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D272" s="242"/>
      <c r="E272" s="242"/>
      <c r="F272" s="206"/>
      <c r="G272" s="242"/>
      <c r="H272" s="206"/>
      <c r="I272" s="266"/>
      <c r="J272" s="206"/>
    </row>
    <row r="273" spans="4:10">
      <c r="D273" s="242"/>
      <c r="E273" s="242"/>
      <c r="F273" s="206"/>
      <c r="G273" s="242"/>
      <c r="H273" s="206"/>
      <c r="I273" s="266"/>
      <c r="J273" s="206"/>
    </row>
    <row r="274" spans="4:10">
      <c r="D274" s="242"/>
      <c r="E274" s="242"/>
      <c r="F274" s="206"/>
      <c r="G274" s="242"/>
      <c r="H274" s="206"/>
      <c r="I274" s="266"/>
      <c r="J274" s="206"/>
    </row>
    <row r="275" spans="4:10">
      <c r="D275" s="242"/>
      <c r="E275" s="242"/>
      <c r="F275" s="206"/>
      <c r="G275" s="242"/>
      <c r="H275" s="206"/>
      <c r="I275" s="266"/>
      <c r="J275" s="206"/>
    </row>
    <row r="276" spans="4:10">
      <c r="D276" s="242"/>
      <c r="E276" s="242"/>
      <c r="F276" s="206"/>
      <c r="G276" s="242"/>
      <c r="H276" s="206"/>
      <c r="I276" s="266"/>
      <c r="J276" s="206"/>
    </row>
    <row r="277" spans="4:10">
      <c r="D277" s="242"/>
      <c r="E277" s="242"/>
      <c r="F277" s="206"/>
      <c r="G277" s="242"/>
      <c r="H277" s="206"/>
      <c r="I277" s="266"/>
      <c r="J277" s="206"/>
    </row>
    <row r="278" spans="4:10">
      <c r="D278" s="242"/>
      <c r="E278" s="242"/>
      <c r="F278" s="206"/>
      <c r="G278" s="242"/>
      <c r="H278" s="206"/>
      <c r="I278" s="266"/>
      <c r="J278" s="206"/>
    </row>
    <row r="279" spans="4:10">
      <c r="D279" s="242"/>
      <c r="E279" s="242"/>
      <c r="F279" s="206"/>
      <c r="G279" s="242"/>
      <c r="H279" s="206"/>
      <c r="I279" s="266"/>
      <c r="J279" s="206"/>
    </row>
    <row r="280" spans="4:10">
      <c r="D280" s="242"/>
      <c r="E280" s="242"/>
      <c r="F280" s="206"/>
      <c r="G280" s="242"/>
      <c r="H280" s="206"/>
      <c r="I280" s="266"/>
      <c r="J280" s="206"/>
    </row>
    <row r="281" spans="4:10">
      <c r="D281" s="242"/>
      <c r="E281" s="242"/>
      <c r="F281" s="206"/>
      <c r="G281" s="242"/>
      <c r="H281" s="206"/>
      <c r="I281" s="266"/>
      <c r="J281" s="206"/>
    </row>
    <row r="282" spans="4:10">
      <c r="D282" s="242"/>
      <c r="E282" s="242"/>
      <c r="F282" s="206"/>
      <c r="G282" s="242"/>
      <c r="H282" s="206"/>
      <c r="I282" s="266"/>
      <c r="J282" s="206"/>
    </row>
    <row r="283" spans="4:10">
      <c r="D283" s="242"/>
      <c r="E283" s="242"/>
      <c r="F283" s="206"/>
      <c r="G283" s="242"/>
      <c r="H283" s="206"/>
      <c r="I283" s="266"/>
      <c r="J283" s="206"/>
    </row>
    <row r="284" spans="4:10">
      <c r="D284" s="242"/>
      <c r="E284" s="242"/>
      <c r="F284" s="206"/>
      <c r="G284" s="242"/>
      <c r="H284" s="206"/>
      <c r="I284" s="266"/>
      <c r="J284" s="206"/>
    </row>
    <row r="285" spans="4:10">
      <c r="I285" s="267"/>
    </row>
    <row r="286" spans="4:10">
      <c r="I286" s="267"/>
    </row>
    <row r="287" spans="4:10">
      <c r="I287" s="267"/>
    </row>
    <row r="288" spans="4:10">
      <c r="I288" s="267"/>
    </row>
    <row r="289" spans="1:28">
      <c r="I289" s="267"/>
    </row>
    <row r="290" spans="1:28">
      <c r="I290" s="267"/>
    </row>
    <row r="291" spans="1:28">
      <c r="I291" s="267"/>
    </row>
    <row r="292" spans="1:28">
      <c r="I292" s="267"/>
    </row>
    <row r="299" spans="1:28" s="104" customFormat="1">
      <c r="A299"/>
      <c r="B299"/>
      <c r="C299"/>
      <c r="D299"/>
      <c r="E299"/>
      <c r="F299" s="105"/>
      <c r="G299"/>
      <c r="I299" s="108"/>
      <c r="K299"/>
      <c r="L299"/>
      <c r="M299"/>
      <c r="N299"/>
      <c r="O299"/>
      <c r="P299"/>
      <c r="Q299"/>
      <c r="R299"/>
      <c r="S299"/>
      <c r="T299"/>
      <c r="U299"/>
      <c r="V299"/>
      <c r="W299"/>
      <c r="X299"/>
      <c r="Y299"/>
      <c r="Z299"/>
      <c r="AA299"/>
      <c r="AB299"/>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rowBreaks count="1" manualBreakCount="1">
    <brk id="64"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B299"/>
  <sheetViews>
    <sheetView view="pageBreakPreview" topLeftCell="A49" zoomScale="130" zoomScaleSheetLayoutView="130" workbookViewId="0">
      <selection activeCell="J72" sqref="J72"/>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40</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Q19+Q20</f>
        <v>105.63</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f>R13+R14</f>
        <v>5</v>
      </c>
      <c r="G11" s="167"/>
      <c r="H11" s="176"/>
      <c r="I11" s="163"/>
      <c r="J11" s="176">
        <f>F11*H11</f>
        <v>0</v>
      </c>
      <c r="K11" s="136"/>
      <c r="L11" s="136" t="s">
        <v>464</v>
      </c>
      <c r="N11">
        <v>0</v>
      </c>
      <c r="O11">
        <v>14.2</v>
      </c>
      <c r="P11">
        <v>0</v>
      </c>
      <c r="Q11">
        <v>313.72000000000003</v>
      </c>
      <c r="R11">
        <v>307.66000000000003</v>
      </c>
      <c r="S11">
        <v>6.05</v>
      </c>
      <c r="T11">
        <v>0</v>
      </c>
      <c r="U11">
        <v>0</v>
      </c>
      <c r="V11">
        <v>0</v>
      </c>
      <c r="W11">
        <v>305.48</v>
      </c>
      <c r="X11">
        <v>183.48</v>
      </c>
      <c r="Y11">
        <v>53.74</v>
      </c>
      <c r="Z11">
        <v>56.59</v>
      </c>
      <c r="AA11">
        <v>11.67</v>
      </c>
      <c r="AB11">
        <v>183.48</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1</v>
      </c>
      <c r="G13" s="167"/>
      <c r="H13" s="176"/>
      <c r="I13" s="182"/>
      <c r="J13" s="176">
        <f>F13*H13</f>
        <v>0</v>
      </c>
      <c r="K13" s="136"/>
      <c r="L13" s="136" t="s">
        <v>179</v>
      </c>
      <c r="M13" t="s">
        <v>389</v>
      </c>
      <c r="N13">
        <v>1</v>
      </c>
      <c r="O13" t="s">
        <v>390</v>
      </c>
      <c r="P13" t="s">
        <v>391</v>
      </c>
      <c r="Q13">
        <v>1000</v>
      </c>
      <c r="R13">
        <v>4</v>
      </c>
    </row>
    <row r="14" spans="1:28" ht="14.25">
      <c r="A14" s="172"/>
      <c r="B14" s="173"/>
      <c r="C14" s="173"/>
      <c r="D14" s="165"/>
      <c r="E14" s="165"/>
      <c r="F14" s="166"/>
      <c r="G14" s="167"/>
      <c r="H14" s="168"/>
      <c r="I14" s="182"/>
      <c r="J14" s="168"/>
      <c r="K14" s="136"/>
      <c r="L14" s="136" t="s">
        <v>177</v>
      </c>
      <c r="M14" t="s">
        <v>389</v>
      </c>
      <c r="N14">
        <v>11</v>
      </c>
      <c r="O14" t="s">
        <v>392</v>
      </c>
      <c r="P14" t="s">
        <v>391</v>
      </c>
      <c r="Q14">
        <v>1000</v>
      </c>
      <c r="R14">
        <v>1</v>
      </c>
    </row>
    <row r="15" spans="1:28" ht="14.25">
      <c r="A15" s="172" t="s">
        <v>67</v>
      </c>
      <c r="B15" s="173" t="s">
        <v>74</v>
      </c>
      <c r="C15" s="173"/>
      <c r="D15" s="174" t="s">
        <v>190</v>
      </c>
      <c r="E15" s="165"/>
      <c r="F15" s="175">
        <v>1</v>
      </c>
      <c r="G15" s="167"/>
      <c r="H15" s="176"/>
      <c r="I15" s="182"/>
      <c r="J15" s="176">
        <f>F15*H15</f>
        <v>0</v>
      </c>
      <c r="K15" s="136"/>
      <c r="L15" s="136"/>
    </row>
    <row r="16" spans="1:28" ht="14.25">
      <c r="A16" s="172"/>
      <c r="B16" s="173"/>
      <c r="C16" s="173"/>
      <c r="D16" s="165"/>
      <c r="E16" s="165"/>
      <c r="F16" s="166"/>
      <c r="G16" s="167"/>
      <c r="H16" s="168"/>
      <c r="I16" s="182"/>
      <c r="J16" s="168"/>
      <c r="K16" s="136"/>
      <c r="L16" s="136"/>
    </row>
    <row r="17" spans="1:17" ht="15" thickBot="1">
      <c r="A17" s="183"/>
      <c r="B17" s="184" t="s">
        <v>75</v>
      </c>
      <c r="C17" s="184"/>
      <c r="D17" s="185"/>
      <c r="E17" s="185"/>
      <c r="F17" s="186"/>
      <c r="G17" s="185"/>
      <c r="H17" s="187"/>
      <c r="I17" s="188"/>
      <c r="J17" s="189">
        <f>SUM(J9:J15)</f>
        <v>0</v>
      </c>
      <c r="K17" s="136"/>
      <c r="L17" s="136"/>
    </row>
    <row r="18" spans="1:17" ht="15" thickTop="1">
      <c r="A18" s="190"/>
      <c r="B18" s="191"/>
      <c r="C18" s="191"/>
      <c r="D18" s="192"/>
      <c r="E18" s="192"/>
      <c r="F18" s="165"/>
      <c r="G18" s="192"/>
      <c r="H18" s="193"/>
      <c r="I18" s="182"/>
      <c r="J18" s="194"/>
      <c r="K18" s="136"/>
      <c r="L18" s="136" t="s">
        <v>221</v>
      </c>
      <c r="N18" t="s">
        <v>239</v>
      </c>
      <c r="P18" t="s">
        <v>238</v>
      </c>
      <c r="Q18" s="450" t="s">
        <v>394</v>
      </c>
    </row>
    <row r="19" spans="1:17" ht="14.25">
      <c r="A19" s="190"/>
      <c r="B19" s="191"/>
      <c r="C19" s="191"/>
      <c r="D19" s="192"/>
      <c r="E19" s="192"/>
      <c r="F19" s="165"/>
      <c r="G19" s="192"/>
      <c r="H19" s="193"/>
      <c r="I19" s="182"/>
      <c r="J19" s="194"/>
      <c r="K19" s="136"/>
      <c r="L19" s="136" t="s">
        <v>407</v>
      </c>
      <c r="N19">
        <v>311.7</v>
      </c>
      <c r="P19">
        <v>235.4</v>
      </c>
      <c r="Q19">
        <v>105.63</v>
      </c>
    </row>
    <row r="20" spans="1:17" ht="15">
      <c r="A20" s="195" t="s">
        <v>61</v>
      </c>
      <c r="B20" s="196" t="s">
        <v>76</v>
      </c>
      <c r="C20" s="196"/>
      <c r="D20" s="160"/>
      <c r="E20" s="160"/>
      <c r="F20" s="170"/>
      <c r="G20" s="171"/>
      <c r="H20" s="197"/>
      <c r="I20" s="180"/>
      <c r="J20" s="198"/>
      <c r="K20" s="136"/>
      <c r="L20" s="136" t="s">
        <v>414</v>
      </c>
      <c r="Q20">
        <v>0</v>
      </c>
    </row>
    <row r="21" spans="1:17" ht="15">
      <c r="A21" s="195"/>
      <c r="B21" s="453" t="s">
        <v>452</v>
      </c>
      <c r="C21" s="196"/>
      <c r="D21" s="160"/>
      <c r="E21" s="160"/>
      <c r="F21" s="170"/>
      <c r="G21" s="171"/>
      <c r="H21" s="197"/>
      <c r="I21" s="180"/>
      <c r="J21" s="198"/>
      <c r="K21" s="136"/>
      <c r="L21" s="136"/>
    </row>
    <row r="22" spans="1:17" ht="4.5" customHeight="1">
      <c r="A22" s="172"/>
      <c r="B22" s="173"/>
      <c r="C22" s="173"/>
      <c r="D22" s="160"/>
      <c r="E22" s="160"/>
      <c r="F22" s="170"/>
      <c r="G22" s="171"/>
      <c r="H22" s="197"/>
      <c r="I22" s="180"/>
      <c r="J22" s="198"/>
      <c r="K22" s="136"/>
      <c r="L22" s="136"/>
    </row>
    <row r="23" spans="1:17" ht="3" customHeight="1">
      <c r="A23" s="195"/>
      <c r="B23" s="196"/>
      <c r="C23" s="196"/>
      <c r="D23" s="165"/>
      <c r="E23" s="165"/>
      <c r="F23" s="166"/>
      <c r="G23" s="167"/>
      <c r="H23" s="193"/>
      <c r="I23" s="182"/>
      <c r="J23" s="194"/>
      <c r="K23" s="136"/>
      <c r="L23" s="136"/>
    </row>
    <row r="24" spans="1:17" ht="15">
      <c r="A24" s="195"/>
      <c r="B24" s="196"/>
      <c r="C24" s="196"/>
      <c r="D24" s="160"/>
      <c r="E24" s="160"/>
      <c r="F24" s="170"/>
      <c r="G24" s="171"/>
      <c r="H24" s="197"/>
      <c r="I24" s="180"/>
      <c r="J24" s="198"/>
      <c r="K24" s="136"/>
      <c r="L24" s="136" t="s">
        <v>221</v>
      </c>
      <c r="M24" t="s">
        <v>238</v>
      </c>
      <c r="N24" t="s">
        <v>239</v>
      </c>
    </row>
    <row r="25" spans="1:17" ht="51">
      <c r="A25" s="203" t="s">
        <v>61</v>
      </c>
      <c r="B25" s="204" t="s">
        <v>22</v>
      </c>
      <c r="C25" s="205"/>
      <c r="D25" s="206"/>
      <c r="E25" s="206"/>
      <c r="F25" s="207"/>
      <c r="G25" s="208"/>
      <c r="H25" s="209"/>
      <c r="I25" s="180"/>
      <c r="J25" s="194"/>
      <c r="K25" s="136"/>
      <c r="M25">
        <v>296.60000000000002</v>
      </c>
      <c r="N25">
        <v>139.85</v>
      </c>
    </row>
    <row r="26" spans="1:17" ht="15.75">
      <c r="A26" s="210"/>
      <c r="B26" s="205" t="s">
        <v>78</v>
      </c>
      <c r="C26" s="205"/>
      <c r="D26" s="211" t="s">
        <v>108</v>
      </c>
      <c r="E26" s="206"/>
      <c r="F26" s="212">
        <f>F9*1.4*0.95</f>
        <v>140.48789999999997</v>
      </c>
      <c r="G26" s="208"/>
      <c r="H26" s="213"/>
      <c r="I26" s="180"/>
      <c r="J26" s="202">
        <f>F26*H26</f>
        <v>0</v>
      </c>
      <c r="K26" s="136"/>
      <c r="M26">
        <v>376.6</v>
      </c>
      <c r="N26">
        <v>117.06</v>
      </c>
    </row>
    <row r="27" spans="1:17" ht="14.25">
      <c r="A27" s="203"/>
      <c r="B27" s="205" t="s">
        <v>79</v>
      </c>
      <c r="C27" s="205"/>
      <c r="D27" s="211" t="s">
        <v>108</v>
      </c>
      <c r="E27" s="206"/>
      <c r="F27" s="212">
        <f>F9*1.4*0.05</f>
        <v>7.394099999999999</v>
      </c>
      <c r="G27" s="208"/>
      <c r="H27" s="213"/>
      <c r="I27" s="180"/>
      <c r="J27" s="202">
        <f>F27*H27</f>
        <v>0</v>
      </c>
      <c r="K27" s="136"/>
      <c r="L27" s="136"/>
    </row>
    <row r="28" spans="1:17" ht="14.25">
      <c r="A28" s="203"/>
      <c r="B28" s="173"/>
      <c r="C28" s="205"/>
      <c r="D28" s="214"/>
      <c r="E28" s="206"/>
      <c r="F28" s="207"/>
      <c r="G28" s="208"/>
      <c r="H28" s="215"/>
      <c r="I28" s="180"/>
      <c r="J28" s="194"/>
      <c r="K28" s="199"/>
      <c r="L28" s="199"/>
      <c r="N28" s="200"/>
      <c r="O28" s="200"/>
    </row>
    <row r="29" spans="1:17" ht="25.5">
      <c r="A29" s="203" t="s">
        <v>63</v>
      </c>
      <c r="B29" s="205" t="s">
        <v>21</v>
      </c>
      <c r="C29" s="205"/>
      <c r="D29" s="206"/>
      <c r="E29" s="206"/>
      <c r="F29" s="216"/>
      <c r="G29" s="217"/>
      <c r="H29" s="209"/>
      <c r="I29" s="180"/>
      <c r="J29" s="218"/>
      <c r="K29" s="199"/>
      <c r="L29" s="199"/>
      <c r="N29" s="200"/>
      <c r="O29" s="200"/>
    </row>
    <row r="30" spans="1:17" ht="14.25">
      <c r="A30" s="203"/>
      <c r="B30" s="205" t="s">
        <v>23</v>
      </c>
      <c r="C30" s="205"/>
      <c r="D30" s="211" t="s">
        <v>105</v>
      </c>
      <c r="E30" s="206"/>
      <c r="F30" s="220">
        <f>F9*0.8</f>
        <v>84.504000000000005</v>
      </c>
      <c r="G30" s="221"/>
      <c r="H30" s="213"/>
      <c r="I30" s="180"/>
      <c r="J30" s="202">
        <f>F30*H30</f>
        <v>0</v>
      </c>
      <c r="K30" s="199"/>
      <c r="L30" s="199"/>
      <c r="N30" s="200"/>
      <c r="O30" s="200"/>
    </row>
    <row r="31" spans="1:17" ht="14.25">
      <c r="A31" s="172"/>
      <c r="B31" s="173"/>
      <c r="C31" s="173"/>
      <c r="D31" s="165"/>
      <c r="E31" s="160"/>
      <c r="F31" s="222"/>
      <c r="G31" s="223"/>
      <c r="H31" s="215"/>
      <c r="I31" s="180"/>
      <c r="J31" s="194"/>
      <c r="K31" s="199"/>
      <c r="L31" s="199"/>
      <c r="N31" s="200"/>
      <c r="O31" s="200"/>
    </row>
    <row r="32" spans="1:17" ht="51">
      <c r="A32" s="172" t="s">
        <v>67</v>
      </c>
      <c r="B32" s="224" t="s">
        <v>80</v>
      </c>
      <c r="C32" s="225"/>
      <c r="D32" s="174" t="s">
        <v>108</v>
      </c>
      <c r="E32" s="160"/>
      <c r="F32" s="175">
        <f>AA11</f>
        <v>11.67</v>
      </c>
      <c r="G32" s="167"/>
      <c r="H32" s="213"/>
      <c r="I32" s="169"/>
      <c r="J32" s="202">
        <f>F32*H32</f>
        <v>0</v>
      </c>
      <c r="K32" s="200"/>
      <c r="L32" s="199"/>
      <c r="M32" s="200"/>
    </row>
    <row r="33" spans="1:15" ht="14.25">
      <c r="A33" s="172"/>
      <c r="B33" s="224"/>
      <c r="C33" s="225"/>
      <c r="D33" s="160"/>
      <c r="E33" s="160"/>
      <c r="F33" s="166"/>
      <c r="G33" s="167"/>
      <c r="H33" s="215"/>
      <c r="I33" s="169"/>
      <c r="J33" s="194"/>
      <c r="K33" s="200"/>
      <c r="L33" s="199"/>
      <c r="M33" s="200"/>
    </row>
    <row r="34" spans="1:15" ht="38.25">
      <c r="A34" s="172" t="s">
        <v>68</v>
      </c>
      <c r="B34" s="173" t="s">
        <v>24</v>
      </c>
      <c r="C34" s="225"/>
      <c r="D34" s="174" t="s">
        <v>108</v>
      </c>
      <c r="E34" s="160"/>
      <c r="F34" s="175">
        <f>Z11</f>
        <v>56.59</v>
      </c>
      <c r="G34" s="167"/>
      <c r="H34" s="213"/>
      <c r="I34" s="169"/>
      <c r="J34" s="202">
        <f>F34*H34</f>
        <v>0</v>
      </c>
      <c r="K34" s="200"/>
      <c r="L34" s="199"/>
      <c r="M34" s="200"/>
    </row>
    <row r="35" spans="1:15" ht="14.25">
      <c r="A35" s="172"/>
      <c r="B35" s="173"/>
      <c r="C35" s="225"/>
      <c r="D35" s="165"/>
      <c r="E35" s="160"/>
      <c r="F35" s="166"/>
      <c r="G35" s="167"/>
      <c r="H35" s="215"/>
      <c r="I35" s="169"/>
      <c r="J35" s="194"/>
      <c r="K35" s="200"/>
      <c r="L35" s="199"/>
      <c r="M35" s="200"/>
    </row>
    <row r="36" spans="1:15" ht="76.5">
      <c r="A36" s="172" t="s">
        <v>69</v>
      </c>
      <c r="B36" s="224" t="s">
        <v>25</v>
      </c>
      <c r="C36" s="226"/>
      <c r="D36" s="179"/>
      <c r="E36" s="179"/>
      <c r="F36" s="166"/>
      <c r="G36" s="167"/>
      <c r="H36" s="198"/>
      <c r="I36" s="163"/>
      <c r="J36" s="198"/>
      <c r="K36" s="171"/>
      <c r="L36" s="219"/>
      <c r="M36" s="200"/>
    </row>
    <row r="37" spans="1:15" ht="15">
      <c r="A37" s="172"/>
      <c r="B37" s="173" t="s">
        <v>78</v>
      </c>
      <c r="C37" s="173"/>
      <c r="D37" s="174" t="s">
        <v>108</v>
      </c>
      <c r="E37" s="160"/>
      <c r="F37" s="175">
        <f>F9*0.24*0.95</f>
        <v>24.083639999999999</v>
      </c>
      <c r="G37" s="167"/>
      <c r="H37" s="213"/>
      <c r="I37" s="163"/>
      <c r="J37" s="202">
        <f>F37*H37</f>
        <v>0</v>
      </c>
      <c r="K37" s="171"/>
      <c r="L37" s="219"/>
      <c r="M37" s="200"/>
    </row>
    <row r="38" spans="1:15" ht="14.25">
      <c r="A38" s="172"/>
      <c r="B38" s="173" t="s">
        <v>79</v>
      </c>
      <c r="C38" s="173"/>
      <c r="D38" s="174" t="s">
        <v>108</v>
      </c>
      <c r="E38" s="160"/>
      <c r="F38" s="181">
        <f>F9*0.24*0.05</f>
        <v>1.26756</v>
      </c>
      <c r="G38" s="167"/>
      <c r="H38" s="213"/>
      <c r="I38" s="163"/>
      <c r="J38" s="202">
        <f>F38*H38</f>
        <v>0</v>
      </c>
      <c r="K38" s="199"/>
      <c r="L38" s="199"/>
      <c r="M38" s="200"/>
      <c r="N38" s="200"/>
      <c r="O38" s="200"/>
    </row>
    <row r="39" spans="1:15" ht="14.25">
      <c r="A39" s="172"/>
      <c r="B39" s="173"/>
      <c r="C39" s="173"/>
      <c r="D39" s="165"/>
      <c r="E39" s="160"/>
      <c r="F39" s="166"/>
      <c r="G39" s="167"/>
      <c r="H39" s="215"/>
      <c r="I39" s="163"/>
      <c r="J39" s="194"/>
      <c r="K39" s="199"/>
      <c r="L39" s="199"/>
      <c r="M39" s="200"/>
      <c r="N39" s="200"/>
      <c r="O39" s="200"/>
    </row>
    <row r="40" spans="1:15" ht="14.25">
      <c r="A40" s="227"/>
      <c r="B40" s="228"/>
      <c r="C40" s="228"/>
      <c r="D40" s="230"/>
      <c r="E40" s="230"/>
      <c r="F40" s="710"/>
      <c r="G40" s="192"/>
      <c r="H40" s="194"/>
      <c r="I40" s="169"/>
      <c r="J40" s="194"/>
      <c r="K40" s="199"/>
      <c r="L40" s="199"/>
      <c r="M40" s="200"/>
      <c r="N40" s="200"/>
      <c r="O40" s="200"/>
    </row>
    <row r="41" spans="1:15" ht="14.25">
      <c r="A41" s="172"/>
      <c r="B41" s="224"/>
      <c r="C41" s="226"/>
      <c r="D41" s="165"/>
      <c r="E41" s="165"/>
      <c r="F41" s="166"/>
      <c r="G41" s="167"/>
      <c r="H41" s="215"/>
      <c r="I41" s="169"/>
      <c r="J41" s="194"/>
      <c r="K41" s="199"/>
      <c r="L41" s="199"/>
      <c r="M41" s="200"/>
      <c r="N41" s="200"/>
      <c r="O41" s="200"/>
    </row>
    <row r="42" spans="1:15" ht="25.5">
      <c r="A42" s="172" t="s">
        <v>72</v>
      </c>
      <c r="B42" s="228" t="s">
        <v>27</v>
      </c>
      <c r="C42" s="226"/>
      <c r="D42" s="174" t="s">
        <v>108</v>
      </c>
      <c r="E42" s="160"/>
      <c r="F42" s="175">
        <f>F26+F27-F37-F38</f>
        <v>122.53079999999997</v>
      </c>
      <c r="G42" s="167"/>
      <c r="H42" s="213"/>
      <c r="I42" s="163"/>
      <c r="J42" s="202">
        <f>F42*H42</f>
        <v>0</v>
      </c>
      <c r="K42" s="199"/>
      <c r="L42" s="199"/>
      <c r="M42" s="200"/>
      <c r="N42" s="200"/>
      <c r="O42" s="200"/>
    </row>
    <row r="43" spans="1:15">
      <c r="A43" s="172"/>
      <c r="B43" s="228"/>
      <c r="C43" s="226"/>
      <c r="D43" s="165"/>
      <c r="E43" s="160"/>
      <c r="F43" s="166"/>
      <c r="G43" s="167"/>
      <c r="H43" s="215"/>
      <c r="I43" s="163"/>
      <c r="J43" s="194"/>
      <c r="K43" s="217"/>
      <c r="L43" s="200"/>
      <c r="M43" s="200"/>
      <c r="N43" s="200"/>
      <c r="O43" s="200"/>
    </row>
    <row r="44" spans="1:15" ht="13.5" thickBot="1">
      <c r="A44" s="183"/>
      <c r="B44" s="232" t="s">
        <v>28</v>
      </c>
      <c r="C44" s="232"/>
      <c r="D44" s="233"/>
      <c r="E44" s="233"/>
      <c r="F44" s="234"/>
      <c r="G44" s="235"/>
      <c r="H44" s="189"/>
      <c r="I44" s="236"/>
      <c r="J44" s="189">
        <f>SUM(J23:J43)</f>
        <v>0</v>
      </c>
      <c r="K44" s="217"/>
      <c r="L44" s="200"/>
      <c r="M44" s="200"/>
      <c r="N44" s="200"/>
      <c r="O44" s="200"/>
    </row>
    <row r="45" spans="1:15" ht="13.5" thickTop="1">
      <c r="A45" s="190"/>
      <c r="B45" s="237"/>
      <c r="C45" s="237"/>
      <c r="D45" s="238"/>
      <c r="E45" s="238"/>
      <c r="F45" s="166"/>
      <c r="G45" s="167"/>
      <c r="H45" s="194"/>
      <c r="I45" s="169"/>
      <c r="J45" s="194"/>
      <c r="K45" s="217"/>
      <c r="L45" s="200"/>
      <c r="M45" s="200"/>
      <c r="N45" s="200"/>
      <c r="O45" s="200"/>
    </row>
    <row r="46" spans="1:15">
      <c r="A46" s="190"/>
      <c r="B46" s="237"/>
      <c r="C46" s="237"/>
      <c r="D46" s="238"/>
      <c r="E46" s="238"/>
      <c r="F46" s="166"/>
      <c r="G46" s="167"/>
      <c r="H46" s="194"/>
      <c r="I46" s="169"/>
      <c r="J46" s="194"/>
      <c r="K46" s="217"/>
      <c r="L46" s="200"/>
      <c r="M46" s="200"/>
      <c r="N46" s="200"/>
      <c r="O46" s="200"/>
    </row>
    <row r="47" spans="1:15" ht="15">
      <c r="A47" s="195" t="s">
        <v>63</v>
      </c>
      <c r="B47" s="239" t="s">
        <v>29</v>
      </c>
      <c r="C47" s="239"/>
      <c r="D47" s="160"/>
      <c r="E47" s="160"/>
      <c r="F47" s="170"/>
      <c r="G47" s="171"/>
      <c r="H47" s="198"/>
      <c r="I47" s="163"/>
      <c r="J47" s="198"/>
      <c r="K47" s="217"/>
      <c r="L47" s="200"/>
      <c r="M47" s="200"/>
      <c r="N47" s="200"/>
      <c r="O47" s="200"/>
    </row>
    <row r="48" spans="1:15" ht="15">
      <c r="A48" s="195"/>
      <c r="B48" s="239"/>
      <c r="C48" s="239"/>
      <c r="D48" s="160"/>
      <c r="E48" s="160"/>
      <c r="F48" s="170"/>
      <c r="G48" s="171"/>
      <c r="H48" s="198"/>
      <c r="I48" s="163"/>
      <c r="J48" s="198"/>
      <c r="K48" s="217"/>
      <c r="L48" s="200"/>
      <c r="M48" s="200"/>
    </row>
    <row r="49" spans="1:15" ht="38.25">
      <c r="A49" s="172" t="s">
        <v>58</v>
      </c>
      <c r="B49" s="226" t="s">
        <v>409</v>
      </c>
      <c r="C49" s="226"/>
      <c r="D49" s="174" t="s">
        <v>60</v>
      </c>
      <c r="E49" s="160"/>
      <c r="F49" s="240">
        <f>Q19</f>
        <v>105.63</v>
      </c>
      <c r="G49" s="223"/>
      <c r="H49" s="213"/>
      <c r="I49" s="163"/>
      <c r="J49" s="202">
        <f>F49*H49</f>
        <v>0</v>
      </c>
      <c r="K49" s="217"/>
      <c r="L49" s="200"/>
      <c r="M49" s="200"/>
      <c r="N49" s="200"/>
      <c r="O49" s="200"/>
    </row>
    <row r="50" spans="1:15">
      <c r="A50" s="172"/>
      <c r="B50" s="226"/>
      <c r="C50" s="226"/>
      <c r="D50" s="160"/>
      <c r="E50" s="160"/>
      <c r="F50" s="170"/>
      <c r="G50" s="171"/>
      <c r="H50" s="198"/>
      <c r="I50" s="163"/>
      <c r="J50" s="198"/>
      <c r="K50" s="217"/>
      <c r="L50" s="200"/>
      <c r="M50" s="200"/>
      <c r="N50" s="200"/>
      <c r="O50" s="200"/>
    </row>
    <row r="51" spans="1:15">
      <c r="A51" s="172"/>
      <c r="B51" s="226"/>
      <c r="C51" s="226"/>
      <c r="D51" s="165"/>
      <c r="E51" s="165"/>
      <c r="F51" s="222"/>
      <c r="G51" s="223"/>
      <c r="H51" s="215"/>
      <c r="I51" s="169"/>
      <c r="J51" s="194"/>
      <c r="K51" s="217"/>
      <c r="L51" s="200"/>
      <c r="M51" s="200"/>
      <c r="N51" s="200"/>
      <c r="O51" s="200"/>
    </row>
    <row r="52" spans="1:15">
      <c r="A52" s="172"/>
      <c r="B52" s="226"/>
      <c r="C52" s="226"/>
      <c r="D52" s="160"/>
      <c r="E52" s="160"/>
      <c r="F52" s="170"/>
      <c r="G52" s="171"/>
      <c r="H52" s="198"/>
      <c r="I52" s="163"/>
      <c r="J52" s="198"/>
      <c r="K52" s="217"/>
      <c r="L52" s="200"/>
      <c r="M52" s="200"/>
      <c r="N52" s="200"/>
      <c r="O52" s="200"/>
    </row>
    <row r="53" spans="1:15">
      <c r="A53" s="172"/>
      <c r="B53" s="226"/>
      <c r="C53" s="226"/>
      <c r="D53" s="160"/>
      <c r="E53" s="160"/>
      <c r="F53" s="170"/>
      <c r="G53" s="171"/>
      <c r="H53" s="198"/>
      <c r="I53" s="163"/>
      <c r="J53" s="198"/>
      <c r="K53" s="217"/>
      <c r="L53" s="200"/>
      <c r="M53" s="200"/>
      <c r="N53" s="200"/>
      <c r="O53" s="200"/>
    </row>
    <row r="54" spans="1:15" ht="51">
      <c r="A54" s="172" t="s">
        <v>61</v>
      </c>
      <c r="B54" s="241" t="s">
        <v>398</v>
      </c>
      <c r="C54" s="241"/>
      <c r="D54" s="165"/>
      <c r="E54" s="165"/>
      <c r="F54" s="166"/>
      <c r="G54" s="167"/>
      <c r="H54" s="198"/>
      <c r="I54" s="163"/>
      <c r="J54" s="198"/>
      <c r="K54" s="217"/>
      <c r="L54" s="200"/>
      <c r="M54" s="200"/>
      <c r="N54" s="200"/>
      <c r="O54" s="200"/>
    </row>
    <row r="55" spans="1:15">
      <c r="A55" s="172"/>
      <c r="B55" s="241"/>
      <c r="C55" s="241"/>
      <c r="D55" s="174" t="s">
        <v>190</v>
      </c>
      <c r="E55" s="165"/>
      <c r="F55" s="175">
        <f>R13</f>
        <v>4</v>
      </c>
      <c r="G55" s="167"/>
      <c r="H55" s="213"/>
      <c r="I55" s="163"/>
      <c r="J55" s="202">
        <f>F55*H55</f>
        <v>0</v>
      </c>
      <c r="K55" s="217"/>
      <c r="L55" s="200"/>
      <c r="M55" s="200"/>
      <c r="N55" s="200"/>
      <c r="O55" s="200"/>
    </row>
    <row r="56" spans="1:15">
      <c r="A56" s="172"/>
      <c r="B56" s="241"/>
      <c r="C56" s="241"/>
      <c r="D56" s="160"/>
      <c r="E56" s="160"/>
      <c r="F56" s="170"/>
      <c r="G56" s="171"/>
      <c r="H56" s="198"/>
      <c r="I56" s="163"/>
      <c r="J56" s="198"/>
      <c r="K56" s="217"/>
      <c r="L56" s="200"/>
      <c r="M56" s="200"/>
      <c r="N56" s="200"/>
      <c r="O56" s="200"/>
    </row>
    <row r="57" spans="1:15" ht="51">
      <c r="A57" s="172" t="s">
        <v>63</v>
      </c>
      <c r="B57" s="241" t="s">
        <v>397</v>
      </c>
      <c r="C57" s="241"/>
      <c r="D57" s="165"/>
      <c r="E57" s="165"/>
      <c r="F57" s="166"/>
      <c r="G57" s="167"/>
      <c r="H57" s="198"/>
      <c r="I57" s="163"/>
      <c r="J57" s="198"/>
      <c r="K57" s="217"/>
      <c r="L57" s="200"/>
      <c r="M57" s="200"/>
      <c r="N57" s="200"/>
      <c r="O57" s="200"/>
    </row>
    <row r="58" spans="1:15">
      <c r="A58" s="172"/>
      <c r="B58" s="241"/>
      <c r="C58" s="241"/>
      <c r="D58" s="174" t="s">
        <v>190</v>
      </c>
      <c r="E58" s="165"/>
      <c r="F58" s="175">
        <f>R14</f>
        <v>1</v>
      </c>
      <c r="G58" s="167"/>
      <c r="H58" s="213"/>
      <c r="I58" s="163"/>
      <c r="J58" s="202">
        <f>F58*H58</f>
        <v>0</v>
      </c>
      <c r="K58" s="217"/>
      <c r="L58" s="200"/>
      <c r="M58" s="200"/>
      <c r="N58" s="200"/>
      <c r="O58" s="200"/>
    </row>
    <row r="59" spans="1:15">
      <c r="A59" s="172"/>
      <c r="B59" s="241"/>
      <c r="C59" s="241"/>
      <c r="D59" s="160"/>
      <c r="E59" s="160"/>
      <c r="F59" s="170"/>
      <c r="G59" s="171"/>
      <c r="H59" s="198"/>
      <c r="I59" s="163"/>
      <c r="J59" s="198"/>
      <c r="K59" s="217"/>
      <c r="L59" s="200"/>
      <c r="M59" s="200"/>
      <c r="N59" s="200"/>
      <c r="O59" s="200"/>
    </row>
    <row r="60" spans="1:15" ht="13.5" thickBot="1">
      <c r="A60" s="243"/>
      <c r="B60" s="244" t="s">
        <v>30</v>
      </c>
      <c r="C60" s="244"/>
      <c r="D60" s="186"/>
      <c r="E60" s="186"/>
      <c r="F60" s="234"/>
      <c r="G60" s="235"/>
      <c r="H60" s="189"/>
      <c r="I60" s="236"/>
      <c r="J60" s="189">
        <f>SUM(J49:J58)</f>
        <v>0</v>
      </c>
      <c r="K60" s="217"/>
      <c r="L60" s="200"/>
      <c r="M60" s="200"/>
      <c r="N60" s="200"/>
      <c r="O60" s="200"/>
    </row>
    <row r="61" spans="1:15" ht="13.5" thickTop="1">
      <c r="A61" s="245"/>
      <c r="B61" s="246"/>
      <c r="C61" s="246"/>
      <c r="D61" s="165"/>
      <c r="E61" s="165"/>
      <c r="F61" s="166"/>
      <c r="G61" s="167"/>
      <c r="H61" s="194"/>
      <c r="I61" s="169"/>
      <c r="J61" s="194"/>
      <c r="K61" s="242"/>
    </row>
    <row r="62" spans="1:15" ht="15.75">
      <c r="A62" s="247" t="s">
        <v>67</v>
      </c>
      <c r="B62" s="248" t="s">
        <v>31</v>
      </c>
      <c r="C62" s="248"/>
      <c r="D62" s="192"/>
      <c r="E62" s="192"/>
      <c r="F62" s="166"/>
      <c r="G62" s="167"/>
      <c r="H62" s="150"/>
      <c r="I62" s="163"/>
      <c r="J62" s="198"/>
      <c r="K62" s="242"/>
    </row>
    <row r="63" spans="1:15">
      <c r="A63" s="172"/>
      <c r="B63" s="249"/>
      <c r="C63" s="249"/>
      <c r="D63" s="250"/>
      <c r="E63" s="250"/>
      <c r="F63" s="170"/>
      <c r="G63" s="171"/>
      <c r="H63" s="150"/>
      <c r="I63" s="163"/>
      <c r="J63" s="198"/>
      <c r="K63" s="242"/>
    </row>
    <row r="64" spans="1:15" ht="25.5">
      <c r="A64" s="172" t="s">
        <v>58</v>
      </c>
      <c r="B64" s="173" t="s">
        <v>32</v>
      </c>
      <c r="C64" s="173"/>
      <c r="D64" s="251" t="s">
        <v>60</v>
      </c>
      <c r="E64" s="179"/>
      <c r="F64" s="175">
        <f>F9</f>
        <v>105.63</v>
      </c>
      <c r="G64" s="167"/>
      <c r="H64" s="213"/>
      <c r="I64" s="163"/>
      <c r="J64" s="202">
        <f>F64*H64</f>
        <v>0</v>
      </c>
      <c r="K64" s="242"/>
    </row>
    <row r="65" spans="1:11">
      <c r="A65" s="172"/>
      <c r="B65" s="173"/>
      <c r="C65" s="173"/>
      <c r="D65" s="179"/>
      <c r="E65" s="179"/>
      <c r="F65" s="170"/>
      <c r="G65" s="171"/>
      <c r="H65" s="150"/>
      <c r="I65" s="163"/>
      <c r="J65" s="198"/>
      <c r="K65" s="242"/>
    </row>
    <row r="66" spans="1:11">
      <c r="A66" s="172" t="s">
        <v>67</v>
      </c>
      <c r="B66" s="173" t="s">
        <v>33</v>
      </c>
      <c r="C66" s="173"/>
      <c r="D66" s="251" t="s">
        <v>60</v>
      </c>
      <c r="E66" s="179"/>
      <c r="F66" s="175">
        <f>F9</f>
        <v>105.63</v>
      </c>
      <c r="G66" s="167"/>
      <c r="H66" s="213"/>
      <c r="I66" s="163"/>
      <c r="J66" s="202">
        <f>F66*H66</f>
        <v>0</v>
      </c>
      <c r="K66" s="242"/>
    </row>
    <row r="67" spans="1:11">
      <c r="A67" s="172"/>
      <c r="B67" s="173"/>
      <c r="C67" s="173"/>
      <c r="D67" s="179"/>
      <c r="E67" s="179"/>
      <c r="F67" s="170"/>
      <c r="G67" s="171"/>
      <c r="H67" s="150"/>
      <c r="I67" s="163"/>
      <c r="J67" s="198"/>
      <c r="K67" s="242"/>
    </row>
    <row r="68" spans="1:11">
      <c r="A68" s="172" t="s">
        <v>68</v>
      </c>
      <c r="B68" s="173" t="s">
        <v>34</v>
      </c>
      <c r="C68" s="173"/>
      <c r="D68" s="251" t="s">
        <v>190</v>
      </c>
      <c r="E68" s="179"/>
      <c r="F68" s="175">
        <f>F55+F58</f>
        <v>5</v>
      </c>
      <c r="G68" s="167"/>
      <c r="H68" s="213"/>
      <c r="I68" s="163"/>
      <c r="J68" s="202">
        <f>F68*H68</f>
        <v>0</v>
      </c>
      <c r="K68" s="242"/>
    </row>
    <row r="69" spans="1:11">
      <c r="A69" s="172"/>
      <c r="B69" s="173"/>
      <c r="C69" s="173"/>
      <c r="D69" s="179"/>
      <c r="E69" s="179"/>
      <c r="F69" s="170"/>
      <c r="G69" s="171"/>
      <c r="H69" s="150"/>
      <c r="I69" s="163"/>
      <c r="J69" s="198"/>
      <c r="K69" s="242"/>
    </row>
    <row r="70" spans="1:11" ht="25.5">
      <c r="A70" s="172" t="s">
        <v>69</v>
      </c>
      <c r="B70" s="173" t="s">
        <v>35</v>
      </c>
      <c r="C70" s="173"/>
      <c r="D70" s="251" t="s">
        <v>60</v>
      </c>
      <c r="E70" s="179"/>
      <c r="F70" s="175">
        <f>F9</f>
        <v>105.63</v>
      </c>
      <c r="G70" s="167"/>
      <c r="H70" s="213"/>
      <c r="I70" s="163"/>
      <c r="J70" s="202">
        <f>F70*H70</f>
        <v>0</v>
      </c>
      <c r="K70" s="242"/>
    </row>
    <row r="71" spans="1:11">
      <c r="A71" s="172"/>
      <c r="B71" s="173"/>
      <c r="C71" s="173"/>
      <c r="D71" s="179"/>
      <c r="E71" s="179"/>
      <c r="F71" s="170"/>
      <c r="G71" s="171"/>
      <c r="H71" s="150"/>
      <c r="I71" s="163"/>
      <c r="J71" s="198"/>
      <c r="K71" s="242"/>
    </row>
    <row r="72" spans="1:11" ht="13.5" thickBot="1">
      <c r="A72" s="183"/>
      <c r="B72" s="252" t="s">
        <v>36</v>
      </c>
      <c r="C72" s="252"/>
      <c r="D72" s="253"/>
      <c r="E72" s="253"/>
      <c r="F72" s="234"/>
      <c r="G72" s="235"/>
      <c r="H72" s="254"/>
      <c r="I72" s="236"/>
      <c r="J72" s="189">
        <f>SUM(J64:J70)</f>
        <v>0</v>
      </c>
      <c r="K72" s="242"/>
    </row>
    <row r="73" spans="1:11" ht="13.5" thickTop="1">
      <c r="A73" s="190"/>
      <c r="B73" s="255"/>
      <c r="C73" s="255"/>
      <c r="D73" s="256"/>
      <c r="E73" s="256"/>
      <c r="F73" s="166"/>
      <c r="G73" s="167"/>
      <c r="H73" s="168"/>
      <c r="I73" s="169"/>
      <c r="J73" s="194"/>
      <c r="K73" s="242"/>
    </row>
    <row r="74" spans="1:11">
      <c r="A74" s="190"/>
      <c r="B74" s="255"/>
      <c r="C74" s="255"/>
      <c r="D74" s="256"/>
      <c r="E74" s="256"/>
      <c r="F74" s="166"/>
      <c r="G74" s="167"/>
      <c r="H74" s="168"/>
      <c r="I74" s="169"/>
      <c r="J74" s="194"/>
      <c r="K74" s="242"/>
    </row>
    <row r="75" spans="1:11">
      <c r="A75" s="190"/>
      <c r="B75" s="255"/>
      <c r="C75" s="255"/>
      <c r="D75" s="256"/>
      <c r="E75" s="256"/>
      <c r="F75" s="166"/>
      <c r="G75" s="167"/>
      <c r="H75" s="150"/>
      <c r="I75" s="163"/>
      <c r="J75" s="198"/>
      <c r="K75" s="242"/>
    </row>
    <row r="76" spans="1:11">
      <c r="A76" s="190"/>
      <c r="B76" s="255"/>
      <c r="C76" s="255"/>
      <c r="D76" s="256"/>
      <c r="E76" s="256"/>
      <c r="F76" s="166"/>
      <c r="G76" s="167"/>
      <c r="H76" s="150"/>
      <c r="I76" s="163"/>
      <c r="J76" s="198"/>
      <c r="K76" s="242"/>
    </row>
    <row r="77" spans="1:11">
      <c r="A77" s="190"/>
      <c r="B77" s="255"/>
      <c r="C77" s="255"/>
      <c r="D77" s="256"/>
      <c r="E77" s="256"/>
      <c r="F77" s="166"/>
      <c r="G77" s="167"/>
      <c r="H77" s="150"/>
      <c r="I77" s="163"/>
      <c r="J77" s="198"/>
      <c r="K77" s="242"/>
    </row>
    <row r="78" spans="1:11">
      <c r="A78" s="190"/>
      <c r="B78" s="255"/>
      <c r="C78" s="255"/>
      <c r="D78" s="256"/>
      <c r="E78" s="256"/>
      <c r="F78" s="166"/>
      <c r="G78" s="167"/>
      <c r="H78" s="150"/>
      <c r="I78" s="163"/>
      <c r="J78" s="198"/>
      <c r="K78" s="242"/>
    </row>
    <row r="79" spans="1:11">
      <c r="A79" s="190"/>
      <c r="B79" s="255"/>
      <c r="C79" s="255"/>
      <c r="D79" s="256"/>
      <c r="E79" s="256"/>
      <c r="F79" s="166"/>
      <c r="G79" s="167"/>
      <c r="H79" s="150"/>
      <c r="I79" s="163"/>
      <c r="J79" s="198"/>
      <c r="K79" s="242"/>
    </row>
    <row r="80" spans="1:11">
      <c r="A80" s="190"/>
      <c r="B80" s="255"/>
      <c r="C80" s="255"/>
      <c r="D80" s="256"/>
      <c r="E80" s="256"/>
      <c r="F80" s="166"/>
      <c r="G80" s="167"/>
      <c r="H80" s="150"/>
      <c r="I80" s="163"/>
      <c r="J80" s="198"/>
      <c r="K80" s="242"/>
    </row>
    <row r="81" spans="1:18">
      <c r="A81" s="190"/>
      <c r="B81" s="255"/>
      <c r="C81" s="255"/>
      <c r="D81" s="256"/>
      <c r="E81" s="256"/>
      <c r="F81" s="166"/>
      <c r="G81" s="167"/>
      <c r="H81" s="150"/>
      <c r="I81" s="163"/>
      <c r="J81" s="198"/>
      <c r="K81" s="242"/>
    </row>
    <row r="82" spans="1:18">
      <c r="A82" s="172"/>
      <c r="B82" s="258"/>
      <c r="C82" s="258"/>
      <c r="D82" s="257"/>
      <c r="E82" s="257"/>
      <c r="F82" s="170"/>
      <c r="G82" s="171"/>
      <c r="H82" s="150"/>
      <c r="I82" s="163"/>
      <c r="J82" s="198"/>
      <c r="K82" s="242"/>
    </row>
    <row r="83" spans="1:18">
      <c r="B83" s="242"/>
      <c r="C83" s="242"/>
      <c r="D83" s="242"/>
      <c r="E83" s="242"/>
      <c r="F83" s="206"/>
      <c r="G83" s="242"/>
      <c r="H83" s="260"/>
      <c r="I83" s="261"/>
      <c r="J83" s="262"/>
      <c r="K83" s="242"/>
    </row>
    <row r="84" spans="1:18">
      <c r="B84" s="242"/>
      <c r="C84" s="242"/>
      <c r="D84" s="242"/>
      <c r="E84" s="242"/>
      <c r="F84" s="206"/>
      <c r="G84" s="242"/>
      <c r="H84" s="260"/>
      <c r="I84" s="261"/>
      <c r="J84" s="262"/>
      <c r="K84" s="242"/>
    </row>
    <row r="85" spans="1:18">
      <c r="B85" s="242"/>
      <c r="C85" s="242"/>
      <c r="D85" s="242"/>
      <c r="E85" s="242"/>
      <c r="F85" s="206"/>
      <c r="G85" s="242"/>
      <c r="H85" s="260"/>
      <c r="I85" s="261"/>
      <c r="J85" s="262"/>
      <c r="K85" s="242"/>
    </row>
    <row r="86" spans="1:18">
      <c r="B86" s="242"/>
      <c r="C86" s="242"/>
      <c r="D86" s="242"/>
      <c r="E86" s="242"/>
      <c r="F86" s="206"/>
      <c r="G86" s="242"/>
      <c r="H86" s="260"/>
      <c r="I86" s="261"/>
      <c r="J86" s="262"/>
      <c r="K86" s="242"/>
    </row>
    <row r="87" spans="1:18">
      <c r="B87" s="242"/>
      <c r="C87" s="242"/>
      <c r="D87" s="242"/>
      <c r="E87" s="242"/>
      <c r="F87" s="206"/>
      <c r="G87" s="242"/>
      <c r="H87" s="260"/>
      <c r="I87" s="261"/>
      <c r="J87" s="262"/>
      <c r="K87" s="242"/>
      <c r="Q87" s="259"/>
      <c r="R87" s="259"/>
    </row>
    <row r="88" spans="1:18">
      <c r="B88" s="242"/>
      <c r="C88" s="242"/>
      <c r="D88" s="242"/>
      <c r="E88" s="242"/>
      <c r="F88" s="206"/>
      <c r="G88" s="242"/>
      <c r="H88" s="260"/>
      <c r="I88" s="261"/>
      <c r="J88" s="262"/>
      <c r="K88" s="242"/>
      <c r="Q88" s="259"/>
      <c r="R88" s="259"/>
    </row>
    <row r="89" spans="1:18">
      <c r="B89" s="242"/>
      <c r="C89" s="242"/>
      <c r="D89" s="242"/>
      <c r="E89" s="242"/>
      <c r="F89" s="206"/>
      <c r="G89" s="242"/>
      <c r="H89" s="260"/>
      <c r="I89" s="261"/>
      <c r="J89" s="262"/>
      <c r="K89" s="242"/>
      <c r="Q89" s="259"/>
      <c r="R89" s="259"/>
    </row>
    <row r="90" spans="1:18">
      <c r="B90" s="242"/>
      <c r="C90" s="242"/>
      <c r="D90" s="242"/>
      <c r="E90" s="242"/>
      <c r="F90" s="206"/>
      <c r="G90" s="242"/>
      <c r="H90" s="260"/>
      <c r="I90" s="261"/>
      <c r="J90" s="262"/>
      <c r="K90" s="242"/>
      <c r="Q90" s="259"/>
      <c r="R90" s="259"/>
    </row>
    <row r="91" spans="1:18">
      <c r="B91" s="242"/>
      <c r="C91" s="242"/>
      <c r="D91" s="242"/>
      <c r="E91" s="242"/>
      <c r="F91" s="206"/>
      <c r="G91" s="242"/>
      <c r="H91" s="260"/>
      <c r="I91" s="261"/>
      <c r="J91" s="262"/>
      <c r="K91" s="242"/>
      <c r="Q91" s="259"/>
      <c r="R91" s="259"/>
    </row>
    <row r="92" spans="1:18">
      <c r="B92" s="242"/>
      <c r="C92" s="242"/>
      <c r="D92" s="242"/>
      <c r="E92" s="242"/>
      <c r="F92" s="206"/>
      <c r="G92" s="242"/>
      <c r="H92" s="260"/>
      <c r="I92" s="261"/>
      <c r="J92" s="262"/>
      <c r="K92" s="242"/>
      <c r="Q92" s="259"/>
      <c r="R92" s="259"/>
    </row>
    <row r="93" spans="1:18">
      <c r="B93" s="242"/>
      <c r="C93" s="242"/>
      <c r="D93" s="242"/>
      <c r="E93" s="242"/>
      <c r="F93" s="206"/>
      <c r="G93" s="242"/>
      <c r="H93" s="260"/>
      <c r="I93" s="261"/>
      <c r="J93" s="262"/>
      <c r="K93" s="242"/>
      <c r="Q93" s="259"/>
      <c r="R93" s="259"/>
    </row>
    <row r="94" spans="1:18">
      <c r="B94" s="242"/>
      <c r="C94" s="242"/>
      <c r="D94" s="242"/>
      <c r="E94" s="242"/>
      <c r="F94" s="206"/>
      <c r="G94" s="242"/>
      <c r="H94" s="260"/>
      <c r="I94" s="261"/>
      <c r="J94" s="262"/>
      <c r="K94" s="242"/>
      <c r="Q94" s="259"/>
      <c r="R94" s="259"/>
    </row>
    <row r="95" spans="1:18">
      <c r="B95" s="242"/>
      <c r="C95" s="242"/>
      <c r="D95" s="242"/>
      <c r="E95" s="242"/>
      <c r="F95" s="206"/>
      <c r="G95" s="242"/>
      <c r="H95" s="260"/>
      <c r="I95" s="261"/>
      <c r="J95" s="262"/>
      <c r="K95" s="242"/>
      <c r="Q95" s="259"/>
      <c r="R95" s="259"/>
    </row>
    <row r="96" spans="1:18">
      <c r="B96" s="242"/>
      <c r="C96" s="242"/>
      <c r="D96" s="242"/>
      <c r="E96" s="242"/>
      <c r="F96" s="206"/>
      <c r="G96" s="242"/>
      <c r="H96" s="260"/>
      <c r="I96" s="261"/>
      <c r="J96" s="262"/>
      <c r="K96" s="242"/>
      <c r="Q96" s="259"/>
      <c r="R96" s="259"/>
    </row>
    <row r="97" spans="2:18">
      <c r="B97" s="242"/>
      <c r="C97" s="242"/>
      <c r="D97" s="242"/>
      <c r="E97" s="242"/>
      <c r="F97" s="206"/>
      <c r="G97" s="242"/>
      <c r="H97" s="260"/>
      <c r="I97" s="261"/>
      <c r="J97" s="262"/>
      <c r="K97" s="263"/>
      <c r="L97" s="263"/>
      <c r="M97" s="264"/>
      <c r="Q97" s="259"/>
      <c r="R97" s="259"/>
    </row>
    <row r="98" spans="2:18">
      <c r="B98" s="242"/>
      <c r="C98" s="242"/>
      <c r="D98" s="242"/>
      <c r="E98" s="242"/>
      <c r="F98" s="206"/>
      <c r="G98" s="242"/>
      <c r="H98" s="260"/>
      <c r="I98" s="261"/>
      <c r="J98" s="262"/>
      <c r="K98" s="265"/>
      <c r="L98" s="265"/>
      <c r="M98" s="264"/>
    </row>
    <row r="99" spans="2:18">
      <c r="B99" s="242"/>
      <c r="C99" s="242"/>
      <c r="D99" s="242"/>
      <c r="E99" s="242"/>
      <c r="F99" s="206"/>
      <c r="G99" s="242"/>
      <c r="H99" s="260"/>
      <c r="I99" s="261"/>
      <c r="J99" s="262"/>
      <c r="K99" s="261"/>
      <c r="L99" s="261"/>
      <c r="M99" s="264"/>
    </row>
    <row r="100" spans="2:18">
      <c r="B100" s="242"/>
      <c r="C100" s="242"/>
      <c r="D100" s="242"/>
      <c r="E100" s="242"/>
      <c r="F100" s="206"/>
      <c r="G100" s="242"/>
      <c r="H100" s="260"/>
      <c r="I100" s="261"/>
      <c r="J100" s="262"/>
      <c r="K100" s="242"/>
    </row>
    <row r="101" spans="2:18">
      <c r="B101" s="242"/>
      <c r="C101" s="242"/>
      <c r="D101" s="242"/>
      <c r="E101" s="242"/>
      <c r="F101" s="206"/>
      <c r="G101" s="242"/>
      <c r="H101" s="260"/>
      <c r="I101" s="261"/>
      <c r="J101" s="262"/>
      <c r="K101" s="242"/>
    </row>
    <row r="102" spans="2:18">
      <c r="B102" s="242"/>
      <c r="C102" s="242"/>
      <c r="D102" s="242"/>
      <c r="E102" s="242"/>
      <c r="F102" s="206"/>
      <c r="G102" s="242"/>
      <c r="H102" s="260"/>
      <c r="I102" s="261"/>
      <c r="J102" s="262"/>
      <c r="K102" s="242"/>
    </row>
    <row r="103" spans="2:18">
      <c r="B103" s="242"/>
      <c r="C103" s="242"/>
      <c r="D103" s="242"/>
      <c r="E103" s="242"/>
      <c r="F103" s="206"/>
      <c r="G103" s="242"/>
      <c r="H103" s="260"/>
      <c r="I103" s="261"/>
      <c r="J103" s="262"/>
      <c r="K103" s="242"/>
    </row>
    <row r="104" spans="2:18">
      <c r="B104" s="242"/>
      <c r="C104" s="242"/>
      <c r="D104" s="242"/>
      <c r="E104" s="242"/>
      <c r="F104" s="206"/>
      <c r="G104" s="242"/>
      <c r="H104" s="260"/>
      <c r="I104" s="261"/>
      <c r="J104" s="262"/>
      <c r="K104" s="242"/>
    </row>
    <row r="105" spans="2:18">
      <c r="B105" s="242"/>
      <c r="C105" s="242"/>
      <c r="D105" s="242"/>
      <c r="E105" s="242"/>
      <c r="F105" s="206"/>
      <c r="G105" s="242"/>
      <c r="H105" s="260"/>
      <c r="I105" s="261"/>
      <c r="J105" s="262"/>
      <c r="K105" s="242"/>
    </row>
    <row r="106" spans="2:18">
      <c r="B106" s="242"/>
      <c r="C106" s="242"/>
      <c r="D106" s="242"/>
      <c r="E106" s="242"/>
      <c r="F106" s="206"/>
      <c r="G106" s="242"/>
      <c r="H106" s="260"/>
      <c r="I106" s="261"/>
      <c r="J106" s="262"/>
      <c r="K106" s="242"/>
    </row>
    <row r="107" spans="2:18">
      <c r="B107" s="242"/>
      <c r="C107" s="242"/>
      <c r="D107" s="242"/>
      <c r="E107" s="242"/>
      <c r="F107" s="206"/>
      <c r="G107" s="242"/>
      <c r="H107" s="260"/>
      <c r="I107" s="261"/>
      <c r="J107" s="262"/>
      <c r="K107" s="242"/>
    </row>
    <row r="108" spans="2:18">
      <c r="B108" s="242"/>
      <c r="C108" s="242"/>
      <c r="D108" s="242"/>
      <c r="E108" s="242"/>
      <c r="F108" s="206"/>
      <c r="G108" s="242"/>
      <c r="H108" s="260"/>
      <c r="I108" s="261"/>
      <c r="J108" s="262"/>
      <c r="K108" s="242"/>
    </row>
    <row r="109" spans="2:18">
      <c r="B109" s="242"/>
      <c r="C109" s="242"/>
      <c r="D109" s="242"/>
      <c r="E109" s="242"/>
      <c r="F109" s="206"/>
      <c r="G109" s="242"/>
      <c r="H109" s="260"/>
      <c r="I109" s="261"/>
      <c r="J109" s="262"/>
      <c r="K109" s="242"/>
    </row>
    <row r="110" spans="2:18">
      <c r="B110" s="242"/>
      <c r="C110" s="242"/>
      <c r="D110" s="242"/>
      <c r="E110" s="242"/>
      <c r="F110" s="206"/>
      <c r="G110" s="242"/>
      <c r="H110" s="260"/>
      <c r="I110" s="261"/>
      <c r="J110" s="262"/>
      <c r="K110" s="242"/>
    </row>
    <row r="111" spans="2:18">
      <c r="B111" s="242"/>
      <c r="C111" s="242"/>
      <c r="D111" s="242"/>
      <c r="E111" s="242"/>
      <c r="F111" s="206"/>
      <c r="G111" s="242"/>
      <c r="H111" s="260"/>
      <c r="I111" s="261"/>
      <c r="J111" s="262"/>
      <c r="K111" s="242"/>
    </row>
    <row r="112" spans="2:18">
      <c r="B112" s="242"/>
      <c r="C112" s="242"/>
      <c r="D112" s="242"/>
      <c r="E112" s="242"/>
      <c r="F112" s="206"/>
      <c r="G112" s="242"/>
      <c r="H112" s="260"/>
      <c r="I112" s="261"/>
      <c r="J112" s="262"/>
      <c r="K112" s="242"/>
    </row>
    <row r="113" spans="2:11">
      <c r="B113" s="242"/>
      <c r="C113" s="242"/>
      <c r="D113" s="242"/>
      <c r="E113" s="242"/>
      <c r="F113" s="206"/>
      <c r="G113" s="242"/>
      <c r="H113" s="260"/>
      <c r="I113" s="261"/>
      <c r="J113" s="262"/>
      <c r="K113" s="242"/>
    </row>
    <row r="114" spans="2:11">
      <c r="B114" s="242"/>
      <c r="C114" s="242"/>
      <c r="D114" s="242"/>
      <c r="E114" s="242"/>
      <c r="F114" s="206"/>
      <c r="G114" s="242"/>
      <c r="H114" s="260"/>
      <c r="I114" s="261"/>
      <c r="J114" s="262"/>
      <c r="K114" s="242"/>
    </row>
    <row r="115" spans="2:11">
      <c r="B115" s="242"/>
      <c r="C115" s="242"/>
      <c r="D115" s="242"/>
      <c r="E115" s="242"/>
      <c r="F115" s="206"/>
      <c r="G115" s="242"/>
      <c r="H115" s="260"/>
      <c r="I115" s="261"/>
      <c r="J115" s="262"/>
      <c r="K115" s="242"/>
    </row>
    <row r="116" spans="2:11">
      <c r="B116" s="242"/>
      <c r="C116" s="242"/>
      <c r="D116" s="242"/>
      <c r="E116" s="242"/>
      <c r="F116" s="206"/>
      <c r="G116" s="242"/>
      <c r="H116" s="260"/>
      <c r="I116" s="261"/>
      <c r="J116" s="262"/>
      <c r="K116" s="242"/>
    </row>
    <row r="117" spans="2:11">
      <c r="B117" s="242"/>
      <c r="C117" s="242"/>
      <c r="D117" s="242"/>
      <c r="E117" s="242"/>
      <c r="F117" s="206"/>
      <c r="G117" s="242"/>
      <c r="H117" s="260"/>
      <c r="I117" s="261"/>
      <c r="J117" s="262"/>
      <c r="K117" s="242"/>
    </row>
    <row r="118" spans="2:11">
      <c r="B118" s="242"/>
      <c r="C118" s="242"/>
      <c r="D118" s="242"/>
      <c r="E118" s="242"/>
      <c r="F118" s="206"/>
      <c r="G118" s="242"/>
      <c r="H118" s="260"/>
      <c r="I118" s="261"/>
      <c r="J118" s="262"/>
      <c r="K118" s="242"/>
    </row>
    <row r="119" spans="2:11">
      <c r="B119" s="242"/>
      <c r="C119" s="242"/>
      <c r="D119" s="242"/>
      <c r="E119" s="242"/>
      <c r="F119" s="206"/>
      <c r="G119" s="242"/>
      <c r="H119" s="260"/>
      <c r="I119" s="261"/>
      <c r="J119" s="262"/>
      <c r="K119" s="242"/>
    </row>
    <row r="120" spans="2:11">
      <c r="B120" s="242"/>
      <c r="C120" s="242"/>
      <c r="D120" s="242"/>
      <c r="E120" s="242"/>
      <c r="F120" s="206"/>
      <c r="G120" s="242"/>
      <c r="H120" s="260"/>
      <c r="I120" s="261"/>
      <c r="J120" s="262"/>
      <c r="K120" s="242"/>
    </row>
    <row r="121" spans="2:11">
      <c r="B121" s="242"/>
      <c r="C121" s="242"/>
      <c r="D121" s="242"/>
      <c r="E121" s="242"/>
      <c r="F121" s="206"/>
      <c r="G121" s="242"/>
      <c r="H121" s="260"/>
      <c r="I121" s="261"/>
      <c r="J121" s="262"/>
      <c r="K121" s="242"/>
    </row>
    <row r="122" spans="2:11">
      <c r="D122" s="242"/>
      <c r="E122" s="242"/>
      <c r="F122" s="206"/>
      <c r="G122" s="242"/>
      <c r="H122" s="260"/>
      <c r="I122" s="261"/>
      <c r="J122" s="262"/>
      <c r="K122" s="242"/>
    </row>
    <row r="123" spans="2:11">
      <c r="D123" s="242"/>
      <c r="E123" s="242"/>
      <c r="F123" s="206"/>
      <c r="G123" s="242"/>
      <c r="H123" s="260"/>
      <c r="I123" s="261"/>
      <c r="J123" s="262"/>
      <c r="K123" s="242"/>
    </row>
    <row r="124" spans="2:11">
      <c r="D124" s="242"/>
      <c r="E124" s="242"/>
      <c r="F124" s="206"/>
      <c r="G124" s="242"/>
      <c r="H124" s="260"/>
      <c r="I124" s="261"/>
      <c r="J124" s="262"/>
      <c r="K124" s="242"/>
    </row>
    <row r="125" spans="2:11">
      <c r="D125" s="242"/>
      <c r="E125" s="242"/>
      <c r="F125" s="206"/>
      <c r="G125" s="242"/>
      <c r="H125" s="260"/>
      <c r="I125" s="261"/>
      <c r="J125" s="262"/>
      <c r="K125" s="242"/>
    </row>
    <row r="126" spans="2:11">
      <c r="D126" s="242"/>
      <c r="E126" s="242"/>
      <c r="F126" s="206"/>
      <c r="G126" s="242"/>
      <c r="H126" s="260"/>
      <c r="I126" s="261"/>
      <c r="J126" s="262"/>
      <c r="K126" s="242"/>
    </row>
    <row r="127" spans="2:11">
      <c r="D127" s="242"/>
      <c r="E127" s="242"/>
      <c r="F127" s="206"/>
      <c r="G127" s="242"/>
      <c r="H127" s="260"/>
      <c r="I127" s="261"/>
      <c r="J127" s="262"/>
      <c r="K127" s="242"/>
    </row>
    <row r="128" spans="2:11">
      <c r="D128" s="242"/>
      <c r="E128" s="242"/>
      <c r="F128" s="206"/>
      <c r="G128" s="242"/>
      <c r="H128" s="260"/>
      <c r="I128" s="261"/>
      <c r="J128" s="262"/>
      <c r="K128" s="242"/>
    </row>
    <row r="129" spans="4:11">
      <c r="D129" s="242"/>
      <c r="E129" s="242"/>
      <c r="F129" s="206"/>
      <c r="G129" s="242"/>
      <c r="H129" s="260"/>
      <c r="I129" s="261"/>
      <c r="J129" s="262"/>
      <c r="K129" s="242"/>
    </row>
    <row r="130" spans="4:11">
      <c r="D130" s="242"/>
      <c r="E130" s="242"/>
      <c r="F130" s="206"/>
      <c r="G130" s="242"/>
      <c r="H130" s="260"/>
      <c r="I130" s="261"/>
      <c r="J130" s="262"/>
      <c r="K130" s="242"/>
    </row>
    <row r="131" spans="4:11">
      <c r="D131" s="242"/>
      <c r="E131" s="242"/>
      <c r="F131" s="206"/>
      <c r="G131" s="242"/>
      <c r="H131" s="260"/>
      <c r="I131" s="261"/>
      <c r="J131" s="262"/>
      <c r="K131" s="242"/>
    </row>
    <row r="132" spans="4:11">
      <c r="D132" s="242"/>
      <c r="E132" s="242"/>
      <c r="F132" s="206"/>
      <c r="G132" s="242"/>
      <c r="H132" s="260"/>
      <c r="I132" s="261"/>
      <c r="J132" s="262"/>
      <c r="K132" s="242"/>
    </row>
    <row r="133" spans="4:11">
      <c r="D133" s="242"/>
      <c r="E133" s="242"/>
      <c r="F133" s="206"/>
      <c r="G133" s="242"/>
      <c r="H133" s="260"/>
      <c r="I133" s="261"/>
      <c r="J133" s="262"/>
      <c r="K133" s="242"/>
    </row>
    <row r="134" spans="4:11">
      <c r="D134" s="242"/>
      <c r="E134" s="242"/>
      <c r="F134" s="206"/>
      <c r="G134" s="242"/>
      <c r="H134" s="260"/>
      <c r="I134" s="261"/>
      <c r="J134" s="262"/>
      <c r="K134" s="242"/>
    </row>
    <row r="135" spans="4:11">
      <c r="D135" s="242"/>
      <c r="E135" s="242"/>
      <c r="F135" s="206"/>
      <c r="G135" s="242"/>
      <c r="H135" s="260"/>
      <c r="I135" s="261"/>
      <c r="J135" s="262"/>
      <c r="K135" s="242"/>
    </row>
    <row r="136" spans="4:11">
      <c r="D136" s="242"/>
      <c r="E136" s="242"/>
      <c r="F136" s="206"/>
      <c r="G136" s="242"/>
      <c r="H136" s="260"/>
      <c r="I136" s="261"/>
      <c r="J136" s="262"/>
      <c r="K136" s="242"/>
    </row>
    <row r="137" spans="4:11">
      <c r="D137" s="242"/>
      <c r="E137" s="242"/>
      <c r="F137" s="206"/>
      <c r="G137" s="242"/>
      <c r="H137" s="260"/>
      <c r="I137" s="261"/>
      <c r="J137" s="262"/>
      <c r="K137" s="242"/>
    </row>
    <row r="138" spans="4:11">
      <c r="D138" s="242"/>
      <c r="E138" s="242"/>
      <c r="F138" s="206"/>
      <c r="G138" s="242"/>
      <c r="H138" s="260"/>
      <c r="I138" s="261"/>
      <c r="J138" s="262"/>
      <c r="K138" s="242"/>
    </row>
    <row r="139" spans="4:11">
      <c r="D139" s="242"/>
      <c r="E139" s="242"/>
      <c r="F139" s="206"/>
      <c r="G139" s="242"/>
      <c r="H139" s="260"/>
      <c r="I139" s="261"/>
      <c r="J139" s="262"/>
    </row>
    <row r="140" spans="4:11">
      <c r="D140" s="242"/>
      <c r="E140" s="242"/>
      <c r="F140" s="206"/>
      <c r="G140" s="242"/>
      <c r="H140" s="260"/>
      <c r="I140" s="261"/>
      <c r="J140" s="262"/>
    </row>
    <row r="141" spans="4:11">
      <c r="D141" s="242"/>
      <c r="E141" s="242"/>
      <c r="F141" s="206"/>
      <c r="G141" s="242"/>
      <c r="H141" s="260"/>
      <c r="I141" s="261"/>
      <c r="J141" s="262"/>
    </row>
    <row r="142" spans="4:11">
      <c r="D142" s="242"/>
      <c r="E142" s="242"/>
      <c r="F142" s="206"/>
      <c r="G142" s="242"/>
      <c r="H142" s="260"/>
      <c r="I142" s="261"/>
      <c r="J142" s="262"/>
    </row>
    <row r="143" spans="4:11">
      <c r="D143" s="242"/>
      <c r="E143" s="242"/>
      <c r="F143" s="206"/>
      <c r="G143" s="242"/>
      <c r="H143" s="260"/>
      <c r="I143" s="261"/>
      <c r="J143" s="262"/>
    </row>
    <row r="144" spans="4:11">
      <c r="D144" s="242"/>
      <c r="E144" s="242"/>
      <c r="F144" s="206"/>
      <c r="G144" s="242"/>
      <c r="H144" s="260"/>
      <c r="I144" s="261"/>
      <c r="J144" s="262"/>
    </row>
    <row r="145" spans="4:10">
      <c r="D145" s="242"/>
      <c r="E145" s="242"/>
      <c r="F145" s="206"/>
      <c r="G145" s="242"/>
      <c r="H145" s="260"/>
      <c r="I145" s="261"/>
      <c r="J145" s="262"/>
    </row>
    <row r="146" spans="4:10">
      <c r="D146" s="242"/>
      <c r="E146" s="242"/>
      <c r="F146" s="206"/>
      <c r="G146" s="242"/>
      <c r="H146" s="260"/>
      <c r="I146" s="266"/>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62"/>
    </row>
    <row r="184" spans="4:10">
      <c r="D184" s="242"/>
      <c r="E184" s="242"/>
      <c r="F184" s="206"/>
      <c r="G184" s="242"/>
      <c r="H184" s="260"/>
      <c r="I184" s="266"/>
      <c r="J184" s="262"/>
    </row>
    <row r="185" spans="4:10">
      <c r="D185" s="242"/>
      <c r="E185" s="242"/>
      <c r="F185" s="206"/>
      <c r="G185" s="242"/>
      <c r="H185" s="260"/>
      <c r="I185" s="266"/>
      <c r="J185" s="262"/>
    </row>
    <row r="186" spans="4:10">
      <c r="D186" s="242"/>
      <c r="E186" s="242"/>
      <c r="F186" s="206"/>
      <c r="G186" s="242"/>
      <c r="H186" s="260"/>
      <c r="I186" s="266"/>
      <c r="J186" s="262"/>
    </row>
    <row r="187" spans="4:10">
      <c r="D187" s="242"/>
      <c r="E187" s="242"/>
      <c r="F187" s="206"/>
      <c r="G187" s="242"/>
      <c r="H187" s="260"/>
      <c r="I187" s="266"/>
      <c r="J187" s="262"/>
    </row>
    <row r="188" spans="4:10">
      <c r="D188" s="242"/>
      <c r="E188" s="242"/>
      <c r="F188" s="206"/>
      <c r="G188" s="242"/>
      <c r="H188" s="260"/>
      <c r="I188" s="266"/>
      <c r="J188" s="262"/>
    </row>
    <row r="189" spans="4:10">
      <c r="D189" s="242"/>
      <c r="E189" s="242"/>
      <c r="F189" s="206"/>
      <c r="G189" s="242"/>
      <c r="H189" s="260"/>
      <c r="I189" s="266"/>
      <c r="J189" s="262"/>
    </row>
    <row r="190" spans="4:10">
      <c r="D190" s="242"/>
      <c r="E190" s="242"/>
      <c r="F190" s="206"/>
      <c r="G190" s="242"/>
      <c r="H190" s="260"/>
      <c r="I190" s="266"/>
      <c r="J190" s="262"/>
    </row>
    <row r="191" spans="4:10">
      <c r="D191" s="242"/>
      <c r="E191" s="242"/>
      <c r="F191" s="206"/>
      <c r="G191" s="242"/>
      <c r="H191" s="260"/>
      <c r="I191" s="266"/>
      <c r="J191" s="206"/>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60"/>
      <c r="I253" s="266"/>
      <c r="J253" s="206"/>
    </row>
    <row r="254" spans="4:10">
      <c r="D254" s="242"/>
      <c r="E254" s="242"/>
      <c r="F254" s="206"/>
      <c r="G254" s="242"/>
      <c r="H254" s="260"/>
      <c r="I254" s="266"/>
      <c r="J254" s="206"/>
    </row>
    <row r="255" spans="4:10">
      <c r="D255" s="242"/>
      <c r="E255" s="242"/>
      <c r="F255" s="206"/>
      <c r="G255" s="242"/>
      <c r="H255" s="260"/>
      <c r="I255" s="266"/>
      <c r="J255" s="206"/>
    </row>
    <row r="256" spans="4:10">
      <c r="D256" s="242"/>
      <c r="E256" s="242"/>
      <c r="F256" s="206"/>
      <c r="G256" s="242"/>
      <c r="H256" s="260"/>
      <c r="I256" s="266"/>
      <c r="J256" s="206"/>
    </row>
    <row r="257" spans="4:10">
      <c r="D257" s="242"/>
      <c r="E257" s="242"/>
      <c r="F257" s="206"/>
      <c r="G257" s="242"/>
      <c r="H257" s="260"/>
      <c r="I257" s="266"/>
      <c r="J257" s="206"/>
    </row>
    <row r="258" spans="4:10">
      <c r="D258" s="242"/>
      <c r="E258" s="242"/>
      <c r="F258" s="206"/>
      <c r="G258" s="242"/>
      <c r="H258" s="260"/>
      <c r="I258" s="266"/>
      <c r="J258" s="206"/>
    </row>
    <row r="259" spans="4:10">
      <c r="D259" s="242"/>
      <c r="E259" s="242"/>
      <c r="F259" s="206"/>
      <c r="G259" s="242"/>
      <c r="H259" s="260"/>
      <c r="I259" s="266"/>
      <c r="J259" s="206"/>
    </row>
    <row r="260" spans="4:10">
      <c r="D260" s="242"/>
      <c r="E260" s="242"/>
      <c r="F260" s="206"/>
      <c r="G260" s="242"/>
      <c r="H260" s="260"/>
      <c r="I260" s="266"/>
      <c r="J260" s="206"/>
    </row>
    <row r="261" spans="4:10">
      <c r="D261" s="242"/>
      <c r="E261" s="242"/>
      <c r="F261" s="206"/>
      <c r="G261" s="242"/>
      <c r="H261" s="206"/>
      <c r="I261" s="266"/>
      <c r="J261" s="206"/>
    </row>
    <row r="262" spans="4:10">
      <c r="D262" s="242"/>
      <c r="E262" s="242"/>
      <c r="F262" s="206"/>
      <c r="G262" s="242"/>
      <c r="H262" s="206"/>
      <c r="I262" s="266"/>
      <c r="J262" s="206"/>
    </row>
    <row r="263" spans="4:10">
      <c r="D263" s="242"/>
      <c r="E263" s="242"/>
      <c r="F263" s="206"/>
      <c r="G263" s="242"/>
      <c r="H263" s="206"/>
      <c r="I263" s="266"/>
      <c r="J263" s="206"/>
    </row>
    <row r="264" spans="4:10">
      <c r="D264" s="242"/>
      <c r="E264" s="242"/>
      <c r="F264" s="206"/>
      <c r="G264" s="242"/>
      <c r="H264" s="206"/>
      <c r="I264" s="266"/>
      <c r="J264" s="206"/>
    </row>
    <row r="265" spans="4:10">
      <c r="D265" s="242"/>
      <c r="E265" s="242"/>
      <c r="F265" s="206"/>
      <c r="G265" s="242"/>
      <c r="H265" s="206"/>
      <c r="I265" s="266"/>
      <c r="J265" s="206"/>
    </row>
    <row r="266" spans="4:10">
      <c r="D266" s="242"/>
      <c r="E266" s="242"/>
      <c r="F266" s="206"/>
      <c r="G266" s="242"/>
      <c r="H266" s="206"/>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D272" s="242"/>
      <c r="E272" s="242"/>
      <c r="F272" s="206"/>
      <c r="G272" s="242"/>
      <c r="H272" s="206"/>
      <c r="I272" s="266"/>
      <c r="J272" s="206"/>
    </row>
    <row r="273" spans="4:10">
      <c r="D273" s="242"/>
      <c r="E273" s="242"/>
      <c r="F273" s="206"/>
      <c r="G273" s="242"/>
      <c r="H273" s="206"/>
      <c r="I273" s="266"/>
      <c r="J273" s="206"/>
    </row>
    <row r="274" spans="4:10">
      <c r="D274" s="242"/>
      <c r="E274" s="242"/>
      <c r="F274" s="206"/>
      <c r="G274" s="242"/>
      <c r="H274" s="206"/>
      <c r="I274" s="266"/>
      <c r="J274" s="206"/>
    </row>
    <row r="275" spans="4:10">
      <c r="D275" s="242"/>
      <c r="E275" s="242"/>
      <c r="F275" s="206"/>
      <c r="G275" s="242"/>
      <c r="H275" s="206"/>
      <c r="I275" s="266"/>
      <c r="J275" s="206"/>
    </row>
    <row r="276" spans="4:10">
      <c r="D276" s="242"/>
      <c r="E276" s="242"/>
      <c r="F276" s="206"/>
      <c r="G276" s="242"/>
      <c r="H276" s="206"/>
      <c r="I276" s="266"/>
      <c r="J276" s="206"/>
    </row>
    <row r="277" spans="4:10">
      <c r="D277" s="242"/>
      <c r="E277" s="242"/>
      <c r="F277" s="206"/>
      <c r="G277" s="242"/>
      <c r="H277" s="206"/>
      <c r="I277" s="266"/>
      <c r="J277" s="206"/>
    </row>
    <row r="278" spans="4:10">
      <c r="D278" s="242"/>
      <c r="E278" s="242"/>
      <c r="F278" s="206"/>
      <c r="G278" s="242"/>
      <c r="H278" s="206"/>
      <c r="I278" s="266"/>
      <c r="J278" s="206"/>
    </row>
    <row r="279" spans="4:10">
      <c r="D279" s="242"/>
      <c r="E279" s="242"/>
      <c r="F279" s="206"/>
      <c r="G279" s="242"/>
      <c r="H279" s="206"/>
      <c r="I279" s="266"/>
      <c r="J279" s="206"/>
    </row>
    <row r="280" spans="4:10">
      <c r="D280" s="242"/>
      <c r="E280" s="242"/>
      <c r="F280" s="206"/>
      <c r="G280" s="242"/>
      <c r="H280" s="206"/>
      <c r="I280" s="266"/>
      <c r="J280" s="206"/>
    </row>
    <row r="281" spans="4:10">
      <c r="D281" s="242"/>
      <c r="E281" s="242"/>
      <c r="F281" s="206"/>
      <c r="G281" s="242"/>
      <c r="H281" s="206"/>
      <c r="I281" s="266"/>
      <c r="J281" s="206"/>
    </row>
    <row r="282" spans="4:10">
      <c r="D282" s="242"/>
      <c r="E282" s="242"/>
      <c r="F282" s="206"/>
      <c r="G282" s="242"/>
      <c r="H282" s="206"/>
      <c r="I282" s="266"/>
      <c r="J282" s="206"/>
    </row>
    <row r="283" spans="4:10">
      <c r="D283" s="242"/>
      <c r="E283" s="242"/>
      <c r="F283" s="206"/>
      <c r="G283" s="242"/>
      <c r="H283" s="206"/>
      <c r="I283" s="266"/>
      <c r="J283" s="206"/>
    </row>
    <row r="284" spans="4:10">
      <c r="D284" s="242"/>
      <c r="E284" s="242"/>
      <c r="F284" s="206"/>
      <c r="G284" s="242"/>
      <c r="H284" s="206"/>
      <c r="I284" s="266"/>
      <c r="J284" s="206"/>
    </row>
    <row r="285" spans="4:10">
      <c r="I285" s="267"/>
    </row>
    <row r="286" spans="4:10">
      <c r="I286" s="267"/>
    </row>
    <row r="287" spans="4:10">
      <c r="I287" s="267"/>
    </row>
    <row r="288" spans="4:10">
      <c r="I288" s="267"/>
    </row>
    <row r="289" spans="1:28">
      <c r="I289" s="267"/>
    </row>
    <row r="290" spans="1:28">
      <c r="I290" s="267"/>
    </row>
    <row r="291" spans="1:28">
      <c r="I291" s="267"/>
    </row>
    <row r="292" spans="1:28">
      <c r="I292" s="267"/>
    </row>
    <row r="299" spans="1:28" s="104" customFormat="1">
      <c r="A299"/>
      <c r="B299"/>
      <c r="C299"/>
      <c r="D299"/>
      <c r="E299"/>
      <c r="F299" s="105"/>
      <c r="G299"/>
      <c r="I299" s="108"/>
      <c r="K299"/>
      <c r="L299"/>
      <c r="M299"/>
      <c r="N299"/>
      <c r="O299"/>
      <c r="P299"/>
      <c r="Q299"/>
      <c r="R299"/>
      <c r="S299"/>
      <c r="T299"/>
      <c r="U299"/>
      <c r="V299"/>
      <c r="W299"/>
      <c r="X299"/>
      <c r="Y299"/>
      <c r="Z299"/>
      <c r="AA299"/>
      <c r="AB299"/>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rowBreaks count="1" manualBreakCount="1">
    <brk id="64"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B299"/>
  <sheetViews>
    <sheetView view="pageBreakPreview" topLeftCell="A52" zoomScale="130" zoomScaleSheetLayoutView="130" workbookViewId="0">
      <selection activeCell="H71" sqref="H71"/>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40</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Q19+Q20</f>
        <v>84.35</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f>R13+R14</f>
        <v>4</v>
      </c>
      <c r="G11" s="167"/>
      <c r="H11" s="176"/>
      <c r="I11" s="163"/>
      <c r="J11" s="176">
        <f>F11*H11</f>
        <v>0</v>
      </c>
      <c r="K11" s="136"/>
      <c r="L11" s="136" t="s">
        <v>465</v>
      </c>
      <c r="N11">
        <v>0</v>
      </c>
      <c r="O11">
        <v>11.34</v>
      </c>
      <c r="P11">
        <v>0</v>
      </c>
      <c r="Q11">
        <v>249.43</v>
      </c>
      <c r="R11">
        <v>246.85</v>
      </c>
      <c r="S11">
        <v>2.58</v>
      </c>
      <c r="T11">
        <v>0</v>
      </c>
      <c r="U11">
        <v>0</v>
      </c>
      <c r="V11">
        <v>0</v>
      </c>
      <c r="W11">
        <v>240.19</v>
      </c>
      <c r="X11">
        <v>137.99</v>
      </c>
      <c r="Y11">
        <v>42.93</v>
      </c>
      <c r="Z11">
        <v>49.45</v>
      </c>
      <c r="AA11">
        <v>9.81</v>
      </c>
      <c r="AB11">
        <v>132.09</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1</v>
      </c>
      <c r="G13" s="167"/>
      <c r="H13" s="176"/>
      <c r="I13" s="182"/>
      <c r="J13" s="176">
        <f>F13*H13</f>
        <v>0</v>
      </c>
      <c r="K13" s="136"/>
      <c r="L13" s="136" t="s">
        <v>179</v>
      </c>
      <c r="M13" t="s">
        <v>389</v>
      </c>
      <c r="N13">
        <v>1</v>
      </c>
      <c r="O13" t="s">
        <v>390</v>
      </c>
      <c r="P13" t="s">
        <v>391</v>
      </c>
      <c r="Q13">
        <v>1000</v>
      </c>
      <c r="R13">
        <v>3</v>
      </c>
    </row>
    <row r="14" spans="1:28" ht="14.25">
      <c r="A14" s="172"/>
      <c r="B14" s="173"/>
      <c r="C14" s="173"/>
      <c r="D14" s="165"/>
      <c r="E14" s="165"/>
      <c r="F14" s="166"/>
      <c r="G14" s="167"/>
      <c r="H14" s="168"/>
      <c r="I14" s="182"/>
      <c r="J14" s="168"/>
      <c r="K14" s="136"/>
      <c r="L14" s="136" t="s">
        <v>177</v>
      </c>
      <c r="M14" t="s">
        <v>389</v>
      </c>
      <c r="N14">
        <v>11</v>
      </c>
      <c r="O14" t="s">
        <v>392</v>
      </c>
      <c r="P14" t="s">
        <v>391</v>
      </c>
      <c r="Q14">
        <v>1000</v>
      </c>
      <c r="R14">
        <v>1</v>
      </c>
    </row>
    <row r="15" spans="1:28" ht="14.25">
      <c r="A15" s="172" t="s">
        <v>67</v>
      </c>
      <c r="B15" s="173" t="s">
        <v>74</v>
      </c>
      <c r="C15" s="173"/>
      <c r="D15" s="174" t="s">
        <v>190</v>
      </c>
      <c r="E15" s="165"/>
      <c r="F15" s="175">
        <v>1</v>
      </c>
      <c r="G15" s="167"/>
      <c r="H15" s="176"/>
      <c r="I15" s="182"/>
      <c r="J15" s="176">
        <f>F15*H15</f>
        <v>0</v>
      </c>
      <c r="K15" s="136"/>
      <c r="L15" s="136"/>
    </row>
    <row r="16" spans="1:28" ht="14.25">
      <c r="A16" s="172"/>
      <c r="B16" s="173"/>
      <c r="C16" s="173"/>
      <c r="D16" s="165"/>
      <c r="E16" s="165"/>
      <c r="F16" s="166"/>
      <c r="G16" s="167"/>
      <c r="H16" s="168"/>
      <c r="I16" s="182"/>
      <c r="J16" s="168"/>
      <c r="K16" s="136"/>
      <c r="L16" s="136"/>
    </row>
    <row r="17" spans="1:17" ht="15" thickBot="1">
      <c r="A17" s="183"/>
      <c r="B17" s="184" t="s">
        <v>75</v>
      </c>
      <c r="C17" s="184"/>
      <c r="D17" s="185"/>
      <c r="E17" s="185"/>
      <c r="F17" s="186"/>
      <c r="G17" s="185"/>
      <c r="H17" s="187"/>
      <c r="I17" s="188"/>
      <c r="J17" s="189">
        <f>SUM(J9:J15)</f>
        <v>0</v>
      </c>
      <c r="K17" s="136"/>
      <c r="L17" s="136"/>
    </row>
    <row r="18" spans="1:17" ht="15" thickTop="1">
      <c r="A18" s="190"/>
      <c r="B18" s="191"/>
      <c r="C18" s="191"/>
      <c r="D18" s="192"/>
      <c r="E18" s="192"/>
      <c r="F18" s="165"/>
      <c r="G18" s="192"/>
      <c r="H18" s="193"/>
      <c r="I18" s="182"/>
      <c r="J18" s="194"/>
      <c r="K18" s="136"/>
      <c r="L18" s="136" t="s">
        <v>221</v>
      </c>
      <c r="N18" t="s">
        <v>239</v>
      </c>
      <c r="P18" t="s">
        <v>238</v>
      </c>
      <c r="Q18" s="450" t="s">
        <v>394</v>
      </c>
    </row>
    <row r="19" spans="1:17" ht="14.25">
      <c r="A19" s="190"/>
      <c r="B19" s="191"/>
      <c r="C19" s="191"/>
      <c r="D19" s="192"/>
      <c r="E19" s="192"/>
      <c r="F19" s="165"/>
      <c r="G19" s="192"/>
      <c r="H19" s="193"/>
      <c r="I19" s="182"/>
      <c r="J19" s="194"/>
      <c r="K19" s="136"/>
      <c r="L19" s="136" t="s">
        <v>407</v>
      </c>
      <c r="N19">
        <v>311.7</v>
      </c>
      <c r="P19">
        <v>235.4</v>
      </c>
      <c r="Q19">
        <v>23.04</v>
      </c>
    </row>
    <row r="20" spans="1:17" ht="15">
      <c r="A20" s="195" t="s">
        <v>61</v>
      </c>
      <c r="B20" s="196" t="s">
        <v>76</v>
      </c>
      <c r="C20" s="196"/>
      <c r="D20" s="160"/>
      <c r="E20" s="160"/>
      <c r="F20" s="170"/>
      <c r="G20" s="171"/>
      <c r="H20" s="197"/>
      <c r="I20" s="180"/>
      <c r="J20" s="198"/>
      <c r="K20" s="136"/>
      <c r="L20" s="136" t="s">
        <v>414</v>
      </c>
      <c r="Q20">
        <v>61.31</v>
      </c>
    </row>
    <row r="21" spans="1:17" ht="15">
      <c r="A21" s="195"/>
      <c r="B21" s="453" t="s">
        <v>452</v>
      </c>
      <c r="C21" s="196"/>
      <c r="D21" s="160"/>
      <c r="E21" s="160"/>
      <c r="F21" s="170"/>
      <c r="G21" s="171"/>
      <c r="H21" s="197"/>
      <c r="I21" s="180"/>
      <c r="J21" s="198"/>
      <c r="K21" s="136"/>
      <c r="L21" s="136"/>
    </row>
    <row r="22" spans="1:17" ht="5.25" customHeight="1">
      <c r="A22" s="172"/>
      <c r="B22" s="173"/>
      <c r="C22" s="173"/>
      <c r="D22" s="160"/>
      <c r="E22" s="160"/>
      <c r="F22" s="170"/>
      <c r="G22" s="171"/>
      <c r="H22" s="197"/>
      <c r="I22" s="180"/>
      <c r="J22" s="198"/>
      <c r="K22" s="136"/>
      <c r="L22" s="136"/>
    </row>
    <row r="23" spans="1:17" ht="9" customHeight="1">
      <c r="A23" s="195"/>
      <c r="B23" s="196"/>
      <c r="C23" s="196"/>
      <c r="D23" s="165"/>
      <c r="E23" s="165"/>
      <c r="F23" s="166"/>
      <c r="G23" s="167"/>
      <c r="H23" s="193"/>
      <c r="I23" s="182"/>
      <c r="J23" s="194"/>
      <c r="K23" s="136"/>
      <c r="L23" s="136"/>
    </row>
    <row r="24" spans="1:17" ht="15">
      <c r="A24" s="195"/>
      <c r="B24" s="196"/>
      <c r="C24" s="196"/>
      <c r="D24" s="160"/>
      <c r="E24" s="160"/>
      <c r="F24" s="170"/>
      <c r="G24" s="171"/>
      <c r="H24" s="197"/>
      <c r="I24" s="180"/>
      <c r="J24" s="198"/>
      <c r="K24" s="136"/>
      <c r="L24" s="136" t="s">
        <v>221</v>
      </c>
      <c r="M24" t="s">
        <v>238</v>
      </c>
      <c r="N24" t="s">
        <v>239</v>
      </c>
    </row>
    <row r="25" spans="1:17" ht="51">
      <c r="A25" s="203" t="s">
        <v>61</v>
      </c>
      <c r="B25" s="204" t="s">
        <v>22</v>
      </c>
      <c r="C25" s="205"/>
      <c r="D25" s="206"/>
      <c r="E25" s="206"/>
      <c r="F25" s="207"/>
      <c r="G25" s="208"/>
      <c r="H25" s="209"/>
      <c r="I25" s="180"/>
      <c r="J25" s="194"/>
      <c r="K25" s="136"/>
      <c r="M25">
        <v>296.60000000000002</v>
      </c>
      <c r="N25">
        <v>139.85</v>
      </c>
    </row>
    <row r="26" spans="1:17" ht="15.75">
      <c r="A26" s="210"/>
      <c r="B26" s="205" t="s">
        <v>78</v>
      </c>
      <c r="C26" s="205"/>
      <c r="D26" s="211" t="s">
        <v>108</v>
      </c>
      <c r="E26" s="206"/>
      <c r="F26" s="212">
        <f>F9*1.4*0.95</f>
        <v>112.18549999999999</v>
      </c>
      <c r="G26" s="208"/>
      <c r="H26" s="213"/>
      <c r="I26" s="180"/>
      <c r="J26" s="202">
        <f>F26*H26</f>
        <v>0</v>
      </c>
      <c r="K26" s="136"/>
      <c r="M26">
        <v>376.6</v>
      </c>
      <c r="N26">
        <v>117.06</v>
      </c>
    </row>
    <row r="27" spans="1:17" ht="14.25">
      <c r="A27" s="203"/>
      <c r="B27" s="205" t="s">
        <v>79</v>
      </c>
      <c r="C27" s="205"/>
      <c r="D27" s="211" t="s">
        <v>108</v>
      </c>
      <c r="E27" s="206"/>
      <c r="F27" s="212">
        <f>F9*1.4*0.05</f>
        <v>5.9044999999999996</v>
      </c>
      <c r="G27" s="208"/>
      <c r="H27" s="213"/>
      <c r="I27" s="180"/>
      <c r="J27" s="202">
        <f>F27*H27</f>
        <v>0</v>
      </c>
      <c r="K27" s="136"/>
      <c r="L27" s="136"/>
    </row>
    <row r="28" spans="1:17" ht="14.25">
      <c r="A28" s="203"/>
      <c r="B28" s="173"/>
      <c r="C28" s="205"/>
      <c r="D28" s="214"/>
      <c r="E28" s="206"/>
      <c r="F28" s="207"/>
      <c r="G28" s="208"/>
      <c r="H28" s="215"/>
      <c r="I28" s="180"/>
      <c r="J28" s="194"/>
      <c r="K28" s="199"/>
      <c r="L28" s="199"/>
      <c r="N28" s="200"/>
      <c r="O28" s="200"/>
    </row>
    <row r="29" spans="1:17" ht="25.5">
      <c r="A29" s="203" t="s">
        <v>63</v>
      </c>
      <c r="B29" s="205" t="s">
        <v>21</v>
      </c>
      <c r="C29" s="205"/>
      <c r="D29" s="206"/>
      <c r="E29" s="206"/>
      <c r="F29" s="216"/>
      <c r="G29" s="217"/>
      <c r="H29" s="209"/>
      <c r="I29" s="180"/>
      <c r="J29" s="218"/>
      <c r="K29" s="199"/>
      <c r="L29" s="199"/>
      <c r="N29" s="200"/>
      <c r="O29" s="200"/>
    </row>
    <row r="30" spans="1:17" ht="14.25">
      <c r="A30" s="203"/>
      <c r="B30" s="205" t="s">
        <v>23</v>
      </c>
      <c r="C30" s="205"/>
      <c r="D30" s="211" t="s">
        <v>105</v>
      </c>
      <c r="E30" s="206"/>
      <c r="F30" s="220">
        <f>F9*0.8</f>
        <v>67.48</v>
      </c>
      <c r="G30" s="221"/>
      <c r="H30" s="213"/>
      <c r="I30" s="180"/>
      <c r="J30" s="202">
        <f>F30*H30</f>
        <v>0</v>
      </c>
      <c r="K30" s="199"/>
      <c r="L30" s="199"/>
      <c r="N30" s="200"/>
      <c r="O30" s="200"/>
    </row>
    <row r="31" spans="1:17" ht="14.25">
      <c r="A31" s="172"/>
      <c r="B31" s="173"/>
      <c r="C31" s="173"/>
      <c r="D31" s="165"/>
      <c r="E31" s="160"/>
      <c r="F31" s="222"/>
      <c r="G31" s="223"/>
      <c r="H31" s="215"/>
      <c r="I31" s="180"/>
      <c r="J31" s="194"/>
      <c r="K31" s="199"/>
      <c r="L31" s="199"/>
      <c r="N31" s="200"/>
      <c r="O31" s="200"/>
    </row>
    <row r="32" spans="1:17" ht="51">
      <c r="A32" s="172" t="s">
        <v>67</v>
      </c>
      <c r="B32" s="224" t="s">
        <v>80</v>
      </c>
      <c r="C32" s="225"/>
      <c r="D32" s="174" t="s">
        <v>108</v>
      </c>
      <c r="E32" s="160"/>
      <c r="F32" s="175">
        <f>AA11</f>
        <v>9.81</v>
      </c>
      <c r="G32" s="167"/>
      <c r="H32" s="213"/>
      <c r="I32" s="169"/>
      <c r="J32" s="202">
        <f>F32*H32</f>
        <v>0</v>
      </c>
      <c r="K32" s="200"/>
      <c r="L32" s="199"/>
      <c r="M32" s="200"/>
    </row>
    <row r="33" spans="1:15" ht="14.25">
      <c r="A33" s="172"/>
      <c r="B33" s="224"/>
      <c r="C33" s="225"/>
      <c r="D33" s="160"/>
      <c r="E33" s="160"/>
      <c r="F33" s="166"/>
      <c r="G33" s="167"/>
      <c r="H33" s="215"/>
      <c r="I33" s="169"/>
      <c r="J33" s="194"/>
      <c r="K33" s="200"/>
      <c r="L33" s="199"/>
      <c r="M33" s="200"/>
    </row>
    <row r="34" spans="1:15" ht="38.25">
      <c r="A34" s="172" t="s">
        <v>68</v>
      </c>
      <c r="B34" s="173" t="s">
        <v>24</v>
      </c>
      <c r="C34" s="225"/>
      <c r="D34" s="174" t="s">
        <v>108</v>
      </c>
      <c r="E34" s="160"/>
      <c r="F34" s="175">
        <f>Z11</f>
        <v>49.45</v>
      </c>
      <c r="G34" s="167"/>
      <c r="H34" s="213"/>
      <c r="I34" s="169"/>
      <c r="J34" s="202">
        <f>F34*H34</f>
        <v>0</v>
      </c>
      <c r="K34" s="200"/>
      <c r="L34" s="199"/>
      <c r="M34" s="200"/>
    </row>
    <row r="35" spans="1:15" ht="14.25">
      <c r="A35" s="172"/>
      <c r="B35" s="173"/>
      <c r="C35" s="225"/>
      <c r="D35" s="165"/>
      <c r="E35" s="160"/>
      <c r="F35" s="166"/>
      <c r="G35" s="167"/>
      <c r="H35" s="215"/>
      <c r="I35" s="169"/>
      <c r="J35" s="194"/>
      <c r="K35" s="200"/>
      <c r="L35" s="199"/>
      <c r="M35" s="200"/>
    </row>
    <row r="36" spans="1:15" ht="76.5">
      <c r="A36" s="172" t="s">
        <v>69</v>
      </c>
      <c r="B36" s="224" t="s">
        <v>25</v>
      </c>
      <c r="C36" s="226"/>
      <c r="D36" s="179"/>
      <c r="E36" s="179"/>
      <c r="F36" s="166"/>
      <c r="G36" s="167"/>
      <c r="H36" s="198"/>
      <c r="I36" s="163"/>
      <c r="J36" s="198"/>
      <c r="K36" s="171"/>
      <c r="L36" s="219"/>
      <c r="M36" s="200"/>
    </row>
    <row r="37" spans="1:15" ht="15">
      <c r="A37" s="172"/>
      <c r="B37" s="173" t="s">
        <v>78</v>
      </c>
      <c r="C37" s="173"/>
      <c r="D37" s="174" t="s">
        <v>108</v>
      </c>
      <c r="E37" s="160"/>
      <c r="F37" s="175">
        <f>(F26+F27-F32-F34)*0.95</f>
        <v>55.888499999999979</v>
      </c>
      <c r="G37" s="167"/>
      <c r="H37" s="213"/>
      <c r="I37" s="163"/>
      <c r="J37" s="202">
        <f>F37*H37</f>
        <v>0</v>
      </c>
      <c r="K37" s="171"/>
      <c r="L37" s="219"/>
      <c r="M37" s="200"/>
    </row>
    <row r="38" spans="1:15" ht="14.25">
      <c r="A38" s="172"/>
      <c r="B38" s="173" t="s">
        <v>79</v>
      </c>
      <c r="C38" s="173"/>
      <c r="D38" s="174" t="s">
        <v>108</v>
      </c>
      <c r="E38" s="160"/>
      <c r="F38" s="181">
        <f>(F26+F27-F32-F34)*0.05</f>
        <v>2.9414999999999996</v>
      </c>
      <c r="G38" s="167"/>
      <c r="H38" s="213"/>
      <c r="I38" s="163"/>
      <c r="J38" s="202">
        <f>F38*H38</f>
        <v>0</v>
      </c>
      <c r="K38" s="199"/>
      <c r="L38" s="199"/>
      <c r="M38" s="200"/>
      <c r="N38" s="200"/>
      <c r="O38" s="200"/>
    </row>
    <row r="39" spans="1:15" ht="14.25">
      <c r="A39" s="172"/>
      <c r="B39" s="173"/>
      <c r="C39" s="173"/>
      <c r="D39" s="165"/>
      <c r="E39" s="160"/>
      <c r="F39" s="166"/>
      <c r="G39" s="167"/>
      <c r="H39" s="215"/>
      <c r="I39" s="163"/>
      <c r="J39" s="194"/>
      <c r="K39" s="199"/>
      <c r="L39" s="199"/>
      <c r="M39" s="200"/>
      <c r="N39" s="200"/>
      <c r="O39" s="200"/>
    </row>
    <row r="40" spans="1:15" ht="10.5" customHeight="1">
      <c r="A40" s="227"/>
      <c r="B40" s="228"/>
      <c r="C40" s="228"/>
      <c r="D40" s="230"/>
      <c r="E40" s="230"/>
      <c r="F40" s="710"/>
      <c r="G40" s="192"/>
      <c r="H40" s="194"/>
      <c r="I40" s="169"/>
      <c r="J40" s="194"/>
      <c r="K40" s="199"/>
      <c r="L40" s="199"/>
      <c r="M40" s="200"/>
      <c r="N40" s="200"/>
      <c r="O40" s="200"/>
    </row>
    <row r="41" spans="1:15" ht="6.75" customHeight="1">
      <c r="A41" s="172"/>
      <c r="B41" s="224"/>
      <c r="C41" s="226"/>
      <c r="D41" s="160"/>
      <c r="E41" s="160"/>
      <c r="F41" s="166"/>
      <c r="G41" s="167"/>
      <c r="H41" s="215"/>
      <c r="I41" s="163"/>
      <c r="J41" s="194"/>
      <c r="K41" s="199"/>
      <c r="L41" s="199"/>
      <c r="M41" s="200"/>
      <c r="N41" s="200"/>
      <c r="O41" s="200"/>
    </row>
    <row r="42" spans="1:15" ht="25.5">
      <c r="A42" s="172" t="s">
        <v>72</v>
      </c>
      <c r="B42" s="228" t="s">
        <v>27</v>
      </c>
      <c r="C42" s="226"/>
      <c r="D42" s="174" t="s">
        <v>108</v>
      </c>
      <c r="E42" s="160"/>
      <c r="F42" s="175">
        <f>F26+F27-F37-F38</f>
        <v>59.260000000000012</v>
      </c>
      <c r="G42" s="167"/>
      <c r="H42" s="213"/>
      <c r="I42" s="163"/>
      <c r="J42" s="202">
        <f>F42*H42</f>
        <v>0</v>
      </c>
      <c r="K42" s="199"/>
      <c r="L42" s="199"/>
      <c r="M42" s="200"/>
      <c r="N42" s="200"/>
      <c r="O42" s="200"/>
    </row>
    <row r="43" spans="1:15">
      <c r="A43" s="172"/>
      <c r="B43" s="228"/>
      <c r="C43" s="226"/>
      <c r="D43" s="165"/>
      <c r="E43" s="160"/>
      <c r="F43" s="166"/>
      <c r="G43" s="167"/>
      <c r="H43" s="215"/>
      <c r="I43" s="163"/>
      <c r="J43" s="194"/>
      <c r="K43" s="217"/>
      <c r="L43" s="200"/>
      <c r="M43" s="200"/>
      <c r="N43" s="200"/>
      <c r="O43" s="200"/>
    </row>
    <row r="44" spans="1:15" ht="13.5" thickBot="1">
      <c r="A44" s="183"/>
      <c r="B44" s="232" t="s">
        <v>28</v>
      </c>
      <c r="C44" s="232"/>
      <c r="D44" s="233"/>
      <c r="E44" s="233"/>
      <c r="F44" s="234"/>
      <c r="G44" s="235"/>
      <c r="H44" s="189"/>
      <c r="I44" s="236"/>
      <c r="J44" s="189">
        <f>SUM(J23:J43)</f>
        <v>0</v>
      </c>
      <c r="K44" s="217"/>
      <c r="L44" s="200"/>
      <c r="M44" s="200"/>
      <c r="N44" s="200"/>
      <c r="O44" s="200"/>
    </row>
    <row r="45" spans="1:15" ht="13.5" thickTop="1">
      <c r="A45" s="190"/>
      <c r="B45" s="237"/>
      <c r="C45" s="237"/>
      <c r="D45" s="238"/>
      <c r="E45" s="238"/>
      <c r="F45" s="166"/>
      <c r="G45" s="167"/>
      <c r="H45" s="194"/>
      <c r="I45" s="169"/>
      <c r="J45" s="194"/>
      <c r="K45" s="217"/>
      <c r="L45" s="200"/>
      <c r="M45" s="200"/>
      <c r="N45" s="200"/>
      <c r="O45" s="200"/>
    </row>
    <row r="46" spans="1:15">
      <c r="A46" s="190"/>
      <c r="B46" s="237"/>
      <c r="C46" s="237"/>
      <c r="D46" s="238"/>
      <c r="E46" s="238"/>
      <c r="F46" s="166"/>
      <c r="G46" s="167"/>
      <c r="H46" s="194"/>
      <c r="I46" s="169"/>
      <c r="J46" s="194"/>
      <c r="K46" s="217"/>
      <c r="L46" s="200"/>
      <c r="M46" s="200"/>
      <c r="N46" s="200"/>
      <c r="O46" s="200"/>
    </row>
    <row r="47" spans="1:15" ht="15">
      <c r="A47" s="195" t="s">
        <v>63</v>
      </c>
      <c r="B47" s="239" t="s">
        <v>29</v>
      </c>
      <c r="C47" s="239"/>
      <c r="D47" s="160"/>
      <c r="E47" s="160"/>
      <c r="F47" s="170"/>
      <c r="G47" s="171"/>
      <c r="H47" s="198"/>
      <c r="I47" s="163"/>
      <c r="J47" s="198"/>
      <c r="K47" s="217"/>
      <c r="L47" s="200"/>
      <c r="M47" s="200"/>
      <c r="N47" s="200"/>
      <c r="O47" s="200"/>
    </row>
    <row r="48" spans="1:15" ht="15">
      <c r="A48" s="195"/>
      <c r="B48" s="239"/>
      <c r="C48" s="239"/>
      <c r="D48" s="160"/>
      <c r="E48" s="160"/>
      <c r="F48" s="170"/>
      <c r="G48" s="171"/>
      <c r="H48" s="198"/>
      <c r="I48" s="163"/>
      <c r="J48" s="198"/>
      <c r="K48" s="217"/>
      <c r="L48" s="200"/>
      <c r="M48" s="200"/>
    </row>
    <row r="49" spans="1:15" ht="38.25">
      <c r="A49" s="172" t="s">
        <v>58</v>
      </c>
      <c r="B49" s="226" t="s">
        <v>409</v>
      </c>
      <c r="C49" s="226"/>
      <c r="D49" s="174" t="s">
        <v>60</v>
      </c>
      <c r="E49" s="160"/>
      <c r="F49" s="240">
        <f>Q19</f>
        <v>23.04</v>
      </c>
      <c r="G49" s="223"/>
      <c r="H49" s="213"/>
      <c r="I49" s="163"/>
      <c r="J49" s="202">
        <f>F49*H49</f>
        <v>0</v>
      </c>
      <c r="K49" s="217"/>
      <c r="L49" s="200"/>
      <c r="M49" s="200"/>
      <c r="N49" s="200"/>
      <c r="O49" s="200"/>
    </row>
    <row r="50" spans="1:15">
      <c r="A50" s="172"/>
      <c r="B50" s="226"/>
      <c r="C50" s="226"/>
      <c r="D50" s="160"/>
      <c r="E50" s="160"/>
      <c r="F50" s="170"/>
      <c r="G50" s="171"/>
      <c r="H50" s="198"/>
      <c r="I50" s="163"/>
      <c r="J50" s="198"/>
      <c r="K50" s="217"/>
      <c r="L50" s="200"/>
      <c r="M50" s="200"/>
      <c r="N50" s="200"/>
      <c r="O50" s="200"/>
    </row>
    <row r="51" spans="1:15" ht="38.25">
      <c r="A51" s="172" t="s">
        <v>61</v>
      </c>
      <c r="B51" s="226" t="s">
        <v>463</v>
      </c>
      <c r="C51" s="226"/>
      <c r="D51" s="174" t="s">
        <v>60</v>
      </c>
      <c r="E51" s="160"/>
      <c r="F51" s="240">
        <f>Q20</f>
        <v>61.31</v>
      </c>
      <c r="G51" s="223"/>
      <c r="H51" s="213"/>
      <c r="I51" s="163"/>
      <c r="J51" s="202">
        <f>F51*H51</f>
        <v>0</v>
      </c>
      <c r="K51" s="217"/>
      <c r="L51" s="200"/>
      <c r="M51" s="200"/>
      <c r="N51" s="200"/>
      <c r="O51" s="200"/>
    </row>
    <row r="52" spans="1:15">
      <c r="A52" s="172"/>
      <c r="B52" s="226"/>
      <c r="C52" s="226"/>
      <c r="D52" s="160"/>
      <c r="E52" s="160"/>
      <c r="F52" s="170"/>
      <c r="G52" s="171"/>
      <c r="H52" s="198"/>
      <c r="I52" s="163"/>
      <c r="J52" s="198"/>
      <c r="K52" s="217"/>
      <c r="L52" s="200"/>
      <c r="M52" s="200"/>
      <c r="N52" s="200"/>
      <c r="O52" s="200"/>
    </row>
    <row r="53" spans="1:15">
      <c r="A53" s="172"/>
      <c r="B53" s="226"/>
      <c r="C53" s="226"/>
      <c r="D53" s="160"/>
      <c r="E53" s="160"/>
      <c r="F53" s="170"/>
      <c r="G53" s="171"/>
      <c r="H53" s="198"/>
      <c r="I53" s="163"/>
      <c r="J53" s="198"/>
      <c r="K53" s="217"/>
      <c r="L53" s="200"/>
      <c r="M53" s="200"/>
      <c r="N53" s="200"/>
      <c r="O53" s="200"/>
    </row>
    <row r="54" spans="1:15" ht="51">
      <c r="A54" s="172" t="s">
        <v>63</v>
      </c>
      <c r="B54" s="241" t="s">
        <v>398</v>
      </c>
      <c r="C54" s="241"/>
      <c r="D54" s="165"/>
      <c r="E54" s="165"/>
      <c r="F54" s="166"/>
      <c r="G54" s="167"/>
      <c r="H54" s="198"/>
      <c r="I54" s="163"/>
      <c r="J54" s="198"/>
      <c r="K54" s="217"/>
      <c r="L54" s="200"/>
      <c r="M54" s="200"/>
      <c r="N54" s="200"/>
      <c r="O54" s="200"/>
    </row>
    <row r="55" spans="1:15">
      <c r="A55" s="172"/>
      <c r="B55" s="241"/>
      <c r="C55" s="241"/>
      <c r="D55" s="174" t="s">
        <v>190</v>
      </c>
      <c r="E55" s="165"/>
      <c r="F55" s="175">
        <f>R13</f>
        <v>3</v>
      </c>
      <c r="G55" s="167"/>
      <c r="H55" s="213"/>
      <c r="I55" s="163"/>
      <c r="J55" s="202">
        <f>F55*H55</f>
        <v>0</v>
      </c>
      <c r="K55" s="217"/>
      <c r="L55" s="200"/>
      <c r="M55" s="200"/>
      <c r="N55" s="200"/>
      <c r="O55" s="200"/>
    </row>
    <row r="56" spans="1:15">
      <c r="A56" s="172"/>
      <c r="B56" s="241"/>
      <c r="C56" s="241"/>
      <c r="D56" s="160"/>
      <c r="E56" s="160"/>
      <c r="F56" s="170"/>
      <c r="G56" s="171"/>
      <c r="H56" s="198"/>
      <c r="I56" s="163"/>
      <c r="J56" s="198"/>
      <c r="K56" s="217"/>
      <c r="L56" s="200"/>
      <c r="M56" s="200"/>
      <c r="N56" s="200"/>
      <c r="O56" s="200"/>
    </row>
    <row r="57" spans="1:15" ht="51">
      <c r="A57" s="172" t="s">
        <v>67</v>
      </c>
      <c r="B57" s="241" t="s">
        <v>397</v>
      </c>
      <c r="C57" s="241"/>
      <c r="D57" s="165"/>
      <c r="E57" s="165"/>
      <c r="F57" s="166"/>
      <c r="G57" s="167"/>
      <c r="H57" s="198"/>
      <c r="I57" s="163"/>
      <c r="J57" s="198"/>
      <c r="K57" s="217"/>
      <c r="L57" s="200"/>
      <c r="M57" s="200"/>
      <c r="N57" s="200"/>
      <c r="O57" s="200"/>
    </row>
    <row r="58" spans="1:15">
      <c r="A58" s="172"/>
      <c r="B58" s="241"/>
      <c r="C58" s="241"/>
      <c r="D58" s="174" t="s">
        <v>190</v>
      </c>
      <c r="E58" s="165"/>
      <c r="F58" s="175">
        <f>R14</f>
        <v>1</v>
      </c>
      <c r="G58" s="167"/>
      <c r="H58" s="213"/>
      <c r="I58" s="163"/>
      <c r="J58" s="202">
        <f>F58*H58</f>
        <v>0</v>
      </c>
      <c r="K58" s="217"/>
      <c r="L58" s="200"/>
      <c r="M58" s="200"/>
      <c r="N58" s="200"/>
      <c r="O58" s="200"/>
    </row>
    <row r="59" spans="1:15">
      <c r="A59" s="172"/>
      <c r="B59" s="241"/>
      <c r="C59" s="241"/>
      <c r="D59" s="160"/>
      <c r="E59" s="160"/>
      <c r="F59" s="170"/>
      <c r="G59" s="171"/>
      <c r="H59" s="198"/>
      <c r="I59" s="163"/>
      <c r="J59" s="198"/>
      <c r="K59" s="217"/>
      <c r="L59" s="200"/>
      <c r="M59" s="200"/>
      <c r="N59" s="200"/>
      <c r="O59" s="200"/>
    </row>
    <row r="60" spans="1:15" ht="13.5" thickBot="1">
      <c r="A60" s="243"/>
      <c r="B60" s="244" t="s">
        <v>30</v>
      </c>
      <c r="C60" s="244"/>
      <c r="D60" s="186"/>
      <c r="E60" s="186"/>
      <c r="F60" s="234"/>
      <c r="G60" s="235"/>
      <c r="H60" s="189"/>
      <c r="I60" s="236"/>
      <c r="J60" s="189">
        <f>SUM(J49:J58)</f>
        <v>0</v>
      </c>
      <c r="K60" s="217"/>
      <c r="L60" s="200"/>
      <c r="M60" s="200"/>
      <c r="N60" s="200"/>
      <c r="O60" s="200"/>
    </row>
    <row r="61" spans="1:15" ht="13.5" thickTop="1">
      <c r="A61" s="245"/>
      <c r="B61" s="246"/>
      <c r="C61" s="246"/>
      <c r="D61" s="165"/>
      <c r="E61" s="165"/>
      <c r="F61" s="166"/>
      <c r="G61" s="167"/>
      <c r="H61" s="194"/>
      <c r="I61" s="169"/>
      <c r="J61" s="194"/>
      <c r="K61" s="242"/>
    </row>
    <row r="62" spans="1:15" ht="15.75">
      <c r="A62" s="247" t="s">
        <v>67</v>
      </c>
      <c r="B62" s="248" t="s">
        <v>31</v>
      </c>
      <c r="C62" s="248"/>
      <c r="D62" s="192"/>
      <c r="E62" s="192"/>
      <c r="F62" s="166"/>
      <c r="G62" s="167"/>
      <c r="H62" s="150"/>
      <c r="I62" s="163"/>
      <c r="J62" s="198"/>
      <c r="K62" s="242"/>
    </row>
    <row r="63" spans="1:15">
      <c r="A63" s="172"/>
      <c r="B63" s="249"/>
      <c r="C63" s="249"/>
      <c r="D63" s="250"/>
      <c r="E63" s="250"/>
      <c r="F63" s="170"/>
      <c r="G63" s="171"/>
      <c r="H63" s="150"/>
      <c r="I63" s="163"/>
      <c r="J63" s="198"/>
      <c r="K63" s="242"/>
    </row>
    <row r="64" spans="1:15" ht="25.5">
      <c r="A64" s="172" t="s">
        <v>58</v>
      </c>
      <c r="B64" s="173" t="s">
        <v>32</v>
      </c>
      <c r="C64" s="173"/>
      <c r="D64" s="251" t="s">
        <v>60</v>
      </c>
      <c r="E64" s="179"/>
      <c r="F64" s="175">
        <f>F9</f>
        <v>84.35</v>
      </c>
      <c r="G64" s="167"/>
      <c r="H64" s="213"/>
      <c r="I64" s="163"/>
      <c r="J64" s="202">
        <f>F64*H64</f>
        <v>0</v>
      </c>
      <c r="K64" s="242"/>
    </row>
    <row r="65" spans="1:11">
      <c r="A65" s="172"/>
      <c r="B65" s="173"/>
      <c r="C65" s="173"/>
      <c r="D65" s="179"/>
      <c r="E65" s="179"/>
      <c r="F65" s="170"/>
      <c r="G65" s="171"/>
      <c r="H65" s="150"/>
      <c r="I65" s="163"/>
      <c r="J65" s="198"/>
      <c r="K65" s="242"/>
    </row>
    <row r="66" spans="1:11">
      <c r="A66" s="172" t="s">
        <v>67</v>
      </c>
      <c r="B66" s="173" t="s">
        <v>33</v>
      </c>
      <c r="C66" s="173"/>
      <c r="D66" s="251" t="s">
        <v>60</v>
      </c>
      <c r="E66" s="179"/>
      <c r="F66" s="175">
        <f>F9</f>
        <v>84.35</v>
      </c>
      <c r="G66" s="167"/>
      <c r="H66" s="213"/>
      <c r="I66" s="163"/>
      <c r="J66" s="202">
        <f>F66*H66</f>
        <v>0</v>
      </c>
      <c r="K66" s="242"/>
    </row>
    <row r="67" spans="1:11">
      <c r="A67" s="172"/>
      <c r="B67" s="173"/>
      <c r="C67" s="173"/>
      <c r="D67" s="179"/>
      <c r="E67" s="179"/>
      <c r="F67" s="170"/>
      <c r="G67" s="171"/>
      <c r="H67" s="150"/>
      <c r="I67" s="163"/>
      <c r="J67" s="198"/>
      <c r="K67" s="242"/>
    </row>
    <row r="68" spans="1:11">
      <c r="A68" s="172" t="s">
        <v>68</v>
      </c>
      <c r="B68" s="173" t="s">
        <v>34</v>
      </c>
      <c r="C68" s="173"/>
      <c r="D68" s="251" t="s">
        <v>190</v>
      </c>
      <c r="E68" s="179"/>
      <c r="F68" s="175">
        <f>F55+F58</f>
        <v>4</v>
      </c>
      <c r="G68" s="167"/>
      <c r="H68" s="213"/>
      <c r="I68" s="163"/>
      <c r="J68" s="202">
        <f>F68*H68</f>
        <v>0</v>
      </c>
      <c r="K68" s="242"/>
    </row>
    <row r="69" spans="1:11">
      <c r="A69" s="172"/>
      <c r="B69" s="173"/>
      <c r="C69" s="173"/>
      <c r="D69" s="179"/>
      <c r="E69" s="179"/>
      <c r="F69" s="170"/>
      <c r="G69" s="171"/>
      <c r="H69" s="150"/>
      <c r="I69" s="163"/>
      <c r="J69" s="198"/>
      <c r="K69" s="242"/>
    </row>
    <row r="70" spans="1:11" ht="25.5">
      <c r="A70" s="172" t="s">
        <v>69</v>
      </c>
      <c r="B70" s="173" t="s">
        <v>35</v>
      </c>
      <c r="C70" s="173"/>
      <c r="D70" s="251" t="s">
        <v>60</v>
      </c>
      <c r="E70" s="179"/>
      <c r="F70" s="175">
        <f>F9</f>
        <v>84.35</v>
      </c>
      <c r="G70" s="167"/>
      <c r="H70" s="213"/>
      <c r="I70" s="163"/>
      <c r="J70" s="202">
        <f>F70*H70</f>
        <v>0</v>
      </c>
      <c r="K70" s="242"/>
    </row>
    <row r="71" spans="1:11">
      <c r="A71" s="172"/>
      <c r="B71" s="173"/>
      <c r="C71" s="173"/>
      <c r="D71" s="179"/>
      <c r="E71" s="179"/>
      <c r="F71" s="170"/>
      <c r="G71" s="171"/>
      <c r="H71" s="150"/>
      <c r="I71" s="163"/>
      <c r="J71" s="198"/>
      <c r="K71" s="242"/>
    </row>
    <row r="72" spans="1:11" ht="13.5" thickBot="1">
      <c r="A72" s="183"/>
      <c r="B72" s="252" t="s">
        <v>36</v>
      </c>
      <c r="C72" s="252"/>
      <c r="D72" s="253"/>
      <c r="E72" s="253"/>
      <c r="F72" s="234"/>
      <c r="G72" s="235"/>
      <c r="H72" s="254"/>
      <c r="I72" s="236"/>
      <c r="J72" s="189">
        <f>SUM(J64:J70)</f>
        <v>0</v>
      </c>
      <c r="K72" s="242"/>
    </row>
    <row r="73" spans="1:11" ht="13.5" thickTop="1">
      <c r="A73" s="190"/>
      <c r="B73" s="255"/>
      <c r="C73" s="255"/>
      <c r="D73" s="256"/>
      <c r="E73" s="256"/>
      <c r="F73" s="166"/>
      <c r="G73" s="167"/>
      <c r="H73" s="168"/>
      <c r="I73" s="169"/>
      <c r="J73" s="194"/>
      <c r="K73" s="242"/>
    </row>
    <row r="74" spans="1:11">
      <c r="A74" s="190"/>
      <c r="B74" s="255"/>
      <c r="C74" s="255"/>
      <c r="D74" s="256"/>
      <c r="E74" s="256"/>
      <c r="F74" s="166"/>
      <c r="G74" s="167"/>
      <c r="H74" s="168"/>
      <c r="I74" s="169"/>
      <c r="J74" s="194"/>
      <c r="K74" s="242"/>
    </row>
    <row r="75" spans="1:11">
      <c r="A75" s="190"/>
      <c r="B75" s="255"/>
      <c r="C75" s="255"/>
      <c r="D75" s="256"/>
      <c r="E75" s="256"/>
      <c r="F75" s="166"/>
      <c r="G75" s="167"/>
      <c r="H75" s="150"/>
      <c r="I75" s="163"/>
      <c r="J75" s="198"/>
      <c r="K75" s="242"/>
    </row>
    <row r="76" spans="1:11">
      <c r="A76" s="190"/>
      <c r="B76" s="255"/>
      <c r="C76" s="255"/>
      <c r="D76" s="256"/>
      <c r="E76" s="256"/>
      <c r="F76" s="166"/>
      <c r="G76" s="167"/>
      <c r="H76" s="150"/>
      <c r="I76" s="163"/>
      <c r="J76" s="198"/>
      <c r="K76" s="242"/>
    </row>
    <row r="77" spans="1:11">
      <c r="A77" s="190"/>
      <c r="B77" s="255"/>
      <c r="C77" s="255"/>
      <c r="D77" s="256"/>
      <c r="E77" s="256"/>
      <c r="F77" s="166"/>
      <c r="G77" s="167"/>
      <c r="H77" s="150"/>
      <c r="I77" s="163"/>
      <c r="J77" s="198"/>
      <c r="K77" s="242"/>
    </row>
    <row r="78" spans="1:11">
      <c r="A78" s="190"/>
      <c r="B78" s="255"/>
      <c r="C78" s="255"/>
      <c r="D78" s="256"/>
      <c r="E78" s="256"/>
      <c r="F78" s="166"/>
      <c r="G78" s="167"/>
      <c r="H78" s="150"/>
      <c r="I78" s="163"/>
      <c r="J78" s="198"/>
      <c r="K78" s="242"/>
    </row>
    <row r="79" spans="1:11">
      <c r="A79" s="190"/>
      <c r="B79" s="255"/>
      <c r="C79" s="255"/>
      <c r="D79" s="256"/>
      <c r="E79" s="256"/>
      <c r="F79" s="166"/>
      <c r="G79" s="167"/>
      <c r="H79" s="150"/>
      <c r="I79" s="163"/>
      <c r="J79" s="198"/>
      <c r="K79" s="242"/>
    </row>
    <row r="80" spans="1:11">
      <c r="A80" s="190"/>
      <c r="B80" s="255"/>
      <c r="C80" s="255"/>
      <c r="D80" s="256"/>
      <c r="E80" s="256"/>
      <c r="F80" s="166"/>
      <c r="G80" s="167"/>
      <c r="H80" s="150"/>
      <c r="I80" s="163"/>
      <c r="J80" s="198"/>
      <c r="K80" s="242"/>
    </row>
    <row r="81" spans="1:18">
      <c r="A81" s="190"/>
      <c r="B81" s="255"/>
      <c r="C81" s="255"/>
      <c r="D81" s="256"/>
      <c r="E81" s="256"/>
      <c r="F81" s="166"/>
      <c r="G81" s="167"/>
      <c r="H81" s="150"/>
      <c r="I81" s="163"/>
      <c r="J81" s="198"/>
      <c r="K81" s="242"/>
    </row>
    <row r="82" spans="1:18">
      <c r="A82" s="172"/>
      <c r="B82" s="258"/>
      <c r="C82" s="258"/>
      <c r="D82" s="257"/>
      <c r="E82" s="257"/>
      <c r="F82" s="170"/>
      <c r="G82" s="171"/>
      <c r="H82" s="150"/>
      <c r="I82" s="163"/>
      <c r="J82" s="198"/>
      <c r="K82" s="242"/>
    </row>
    <row r="83" spans="1:18">
      <c r="B83" s="242"/>
      <c r="C83" s="242"/>
      <c r="D83" s="242"/>
      <c r="E83" s="242"/>
      <c r="F83" s="206"/>
      <c r="G83" s="242"/>
      <c r="H83" s="260"/>
      <c r="I83" s="261"/>
      <c r="J83" s="262"/>
      <c r="K83" s="242"/>
    </row>
    <row r="84" spans="1:18">
      <c r="B84" s="242"/>
      <c r="C84" s="242"/>
      <c r="D84" s="242"/>
      <c r="E84" s="242"/>
      <c r="F84" s="206"/>
      <c r="G84" s="242"/>
      <c r="H84" s="260"/>
      <c r="I84" s="261"/>
      <c r="J84" s="262"/>
      <c r="K84" s="242"/>
    </row>
    <row r="85" spans="1:18">
      <c r="B85" s="242"/>
      <c r="C85" s="242"/>
      <c r="D85" s="242"/>
      <c r="E85" s="242"/>
      <c r="F85" s="206"/>
      <c r="G85" s="242"/>
      <c r="H85" s="260"/>
      <c r="I85" s="261"/>
      <c r="J85" s="262"/>
      <c r="K85" s="242"/>
    </row>
    <row r="86" spans="1:18">
      <c r="B86" s="242"/>
      <c r="C86" s="242"/>
      <c r="D86" s="242"/>
      <c r="E86" s="242"/>
      <c r="F86" s="206"/>
      <c r="G86" s="242"/>
      <c r="H86" s="260"/>
      <c r="I86" s="261"/>
      <c r="J86" s="262"/>
      <c r="K86" s="242"/>
    </row>
    <row r="87" spans="1:18">
      <c r="B87" s="242"/>
      <c r="C87" s="242"/>
      <c r="D87" s="242"/>
      <c r="E87" s="242"/>
      <c r="F87" s="206"/>
      <c r="G87" s="242"/>
      <c r="H87" s="260"/>
      <c r="I87" s="261"/>
      <c r="J87" s="262"/>
      <c r="K87" s="242"/>
      <c r="Q87" s="259"/>
      <c r="R87" s="259"/>
    </row>
    <row r="88" spans="1:18">
      <c r="B88" s="242"/>
      <c r="C88" s="242"/>
      <c r="D88" s="242"/>
      <c r="E88" s="242"/>
      <c r="F88" s="206"/>
      <c r="G88" s="242"/>
      <c r="H88" s="260"/>
      <c r="I88" s="261"/>
      <c r="J88" s="262"/>
      <c r="K88" s="242"/>
      <c r="Q88" s="259"/>
      <c r="R88" s="259"/>
    </row>
    <row r="89" spans="1:18">
      <c r="B89" s="242"/>
      <c r="C89" s="242"/>
      <c r="D89" s="242"/>
      <c r="E89" s="242"/>
      <c r="F89" s="206"/>
      <c r="G89" s="242"/>
      <c r="H89" s="260"/>
      <c r="I89" s="261"/>
      <c r="J89" s="262"/>
      <c r="K89" s="242"/>
      <c r="Q89" s="259"/>
      <c r="R89" s="259"/>
    </row>
    <row r="90" spans="1:18">
      <c r="B90" s="242"/>
      <c r="C90" s="242"/>
      <c r="D90" s="242"/>
      <c r="E90" s="242"/>
      <c r="F90" s="206"/>
      <c r="G90" s="242"/>
      <c r="H90" s="260"/>
      <c r="I90" s="261"/>
      <c r="J90" s="262"/>
      <c r="K90" s="242"/>
      <c r="Q90" s="259"/>
      <c r="R90" s="259"/>
    </row>
    <row r="91" spans="1:18">
      <c r="B91" s="242"/>
      <c r="C91" s="242"/>
      <c r="D91" s="242"/>
      <c r="E91" s="242"/>
      <c r="F91" s="206"/>
      <c r="G91" s="242"/>
      <c r="H91" s="260"/>
      <c r="I91" s="261"/>
      <c r="J91" s="262"/>
      <c r="K91" s="242"/>
      <c r="Q91" s="259"/>
      <c r="R91" s="259"/>
    </row>
    <row r="92" spans="1:18">
      <c r="B92" s="242"/>
      <c r="C92" s="242"/>
      <c r="D92" s="242"/>
      <c r="E92" s="242"/>
      <c r="F92" s="206"/>
      <c r="G92" s="242"/>
      <c r="H92" s="260"/>
      <c r="I92" s="261"/>
      <c r="J92" s="262"/>
      <c r="K92" s="242"/>
      <c r="Q92" s="259"/>
      <c r="R92" s="259"/>
    </row>
    <row r="93" spans="1:18">
      <c r="B93" s="242"/>
      <c r="C93" s="242"/>
      <c r="D93" s="242"/>
      <c r="E93" s="242"/>
      <c r="F93" s="206"/>
      <c r="G93" s="242"/>
      <c r="H93" s="260"/>
      <c r="I93" s="261"/>
      <c r="J93" s="262"/>
      <c r="K93" s="242"/>
      <c r="Q93" s="259"/>
      <c r="R93" s="259"/>
    </row>
    <row r="94" spans="1:18">
      <c r="B94" s="242"/>
      <c r="C94" s="242"/>
      <c r="D94" s="242"/>
      <c r="E94" s="242"/>
      <c r="F94" s="206"/>
      <c r="G94" s="242"/>
      <c r="H94" s="260"/>
      <c r="I94" s="261"/>
      <c r="J94" s="262"/>
      <c r="K94" s="242"/>
      <c r="Q94" s="259"/>
      <c r="R94" s="259"/>
    </row>
    <row r="95" spans="1:18">
      <c r="B95" s="242"/>
      <c r="C95" s="242"/>
      <c r="D95" s="242"/>
      <c r="E95" s="242"/>
      <c r="F95" s="206"/>
      <c r="G95" s="242"/>
      <c r="H95" s="260"/>
      <c r="I95" s="261"/>
      <c r="J95" s="262"/>
      <c r="K95" s="242"/>
      <c r="Q95" s="259"/>
      <c r="R95" s="259"/>
    </row>
    <row r="96" spans="1:18">
      <c r="B96" s="242"/>
      <c r="C96" s="242"/>
      <c r="D96" s="242"/>
      <c r="E96" s="242"/>
      <c r="F96" s="206"/>
      <c r="G96" s="242"/>
      <c r="H96" s="260"/>
      <c r="I96" s="261"/>
      <c r="J96" s="262"/>
      <c r="K96" s="242"/>
      <c r="Q96" s="259"/>
      <c r="R96" s="259"/>
    </row>
    <row r="97" spans="2:18">
      <c r="B97" s="242"/>
      <c r="C97" s="242"/>
      <c r="D97" s="242"/>
      <c r="E97" s="242"/>
      <c r="F97" s="206"/>
      <c r="G97" s="242"/>
      <c r="H97" s="260"/>
      <c r="I97" s="261"/>
      <c r="J97" s="262"/>
      <c r="K97" s="263"/>
      <c r="L97" s="263"/>
      <c r="M97" s="264"/>
      <c r="Q97" s="259"/>
      <c r="R97" s="259"/>
    </row>
    <row r="98" spans="2:18">
      <c r="B98" s="242"/>
      <c r="C98" s="242"/>
      <c r="D98" s="242"/>
      <c r="E98" s="242"/>
      <c r="F98" s="206"/>
      <c r="G98" s="242"/>
      <c r="H98" s="260"/>
      <c r="I98" s="261"/>
      <c r="J98" s="262"/>
      <c r="K98" s="265"/>
      <c r="L98" s="265"/>
      <c r="M98" s="264"/>
    </row>
    <row r="99" spans="2:18">
      <c r="B99" s="242"/>
      <c r="C99" s="242"/>
      <c r="D99" s="242"/>
      <c r="E99" s="242"/>
      <c r="F99" s="206"/>
      <c r="G99" s="242"/>
      <c r="H99" s="260"/>
      <c r="I99" s="261"/>
      <c r="J99" s="262"/>
      <c r="K99" s="261"/>
      <c r="L99" s="261"/>
      <c r="M99" s="264"/>
    </row>
    <row r="100" spans="2:18">
      <c r="B100" s="242"/>
      <c r="C100" s="242"/>
      <c r="D100" s="242"/>
      <c r="E100" s="242"/>
      <c r="F100" s="206"/>
      <c r="G100" s="242"/>
      <c r="H100" s="260"/>
      <c r="I100" s="261"/>
      <c r="J100" s="262"/>
      <c r="K100" s="242"/>
    </row>
    <row r="101" spans="2:18">
      <c r="B101" s="242"/>
      <c r="C101" s="242"/>
      <c r="D101" s="242"/>
      <c r="E101" s="242"/>
      <c r="F101" s="206"/>
      <c r="G101" s="242"/>
      <c r="H101" s="260"/>
      <c r="I101" s="261"/>
      <c r="J101" s="262"/>
      <c r="K101" s="242"/>
    </row>
    <row r="102" spans="2:18">
      <c r="B102" s="242"/>
      <c r="C102" s="242"/>
      <c r="D102" s="242"/>
      <c r="E102" s="242"/>
      <c r="F102" s="206"/>
      <c r="G102" s="242"/>
      <c r="H102" s="260"/>
      <c r="I102" s="261"/>
      <c r="J102" s="262"/>
      <c r="K102" s="242"/>
    </row>
    <row r="103" spans="2:18">
      <c r="B103" s="242"/>
      <c r="C103" s="242"/>
      <c r="D103" s="242"/>
      <c r="E103" s="242"/>
      <c r="F103" s="206"/>
      <c r="G103" s="242"/>
      <c r="H103" s="260"/>
      <c r="I103" s="261"/>
      <c r="J103" s="262"/>
      <c r="K103" s="242"/>
    </row>
    <row r="104" spans="2:18">
      <c r="B104" s="242"/>
      <c r="C104" s="242"/>
      <c r="D104" s="242"/>
      <c r="E104" s="242"/>
      <c r="F104" s="206"/>
      <c r="G104" s="242"/>
      <c r="H104" s="260"/>
      <c r="I104" s="261"/>
      <c r="J104" s="262"/>
      <c r="K104" s="242"/>
    </row>
    <row r="105" spans="2:18">
      <c r="B105" s="242"/>
      <c r="C105" s="242"/>
      <c r="D105" s="242"/>
      <c r="E105" s="242"/>
      <c r="F105" s="206"/>
      <c r="G105" s="242"/>
      <c r="H105" s="260"/>
      <c r="I105" s="261"/>
      <c r="J105" s="262"/>
      <c r="K105" s="242"/>
    </row>
    <row r="106" spans="2:18">
      <c r="B106" s="242"/>
      <c r="C106" s="242"/>
      <c r="D106" s="242"/>
      <c r="E106" s="242"/>
      <c r="F106" s="206"/>
      <c r="G106" s="242"/>
      <c r="H106" s="260"/>
      <c r="I106" s="261"/>
      <c r="J106" s="262"/>
      <c r="K106" s="242"/>
    </row>
    <row r="107" spans="2:18">
      <c r="B107" s="242"/>
      <c r="C107" s="242"/>
      <c r="D107" s="242"/>
      <c r="E107" s="242"/>
      <c r="F107" s="206"/>
      <c r="G107" s="242"/>
      <c r="H107" s="260"/>
      <c r="I107" s="261"/>
      <c r="J107" s="262"/>
      <c r="K107" s="242"/>
    </row>
    <row r="108" spans="2:18">
      <c r="B108" s="242"/>
      <c r="C108" s="242"/>
      <c r="D108" s="242"/>
      <c r="E108" s="242"/>
      <c r="F108" s="206"/>
      <c r="G108" s="242"/>
      <c r="H108" s="260"/>
      <c r="I108" s="261"/>
      <c r="J108" s="262"/>
      <c r="K108" s="242"/>
    </row>
    <row r="109" spans="2:18">
      <c r="B109" s="242"/>
      <c r="C109" s="242"/>
      <c r="D109" s="242"/>
      <c r="E109" s="242"/>
      <c r="F109" s="206"/>
      <c r="G109" s="242"/>
      <c r="H109" s="260"/>
      <c r="I109" s="261"/>
      <c r="J109" s="262"/>
      <c r="K109" s="242"/>
    </row>
    <row r="110" spans="2:18">
      <c r="B110" s="242"/>
      <c r="C110" s="242"/>
      <c r="D110" s="242"/>
      <c r="E110" s="242"/>
      <c r="F110" s="206"/>
      <c r="G110" s="242"/>
      <c r="H110" s="260"/>
      <c r="I110" s="261"/>
      <c r="J110" s="262"/>
      <c r="K110" s="242"/>
    </row>
    <row r="111" spans="2:18">
      <c r="B111" s="242"/>
      <c r="C111" s="242"/>
      <c r="D111" s="242"/>
      <c r="E111" s="242"/>
      <c r="F111" s="206"/>
      <c r="G111" s="242"/>
      <c r="H111" s="260"/>
      <c r="I111" s="261"/>
      <c r="J111" s="262"/>
      <c r="K111" s="242"/>
    </row>
    <row r="112" spans="2:18">
      <c r="B112" s="242"/>
      <c r="C112" s="242"/>
      <c r="D112" s="242"/>
      <c r="E112" s="242"/>
      <c r="F112" s="206"/>
      <c r="G112" s="242"/>
      <c r="H112" s="260"/>
      <c r="I112" s="261"/>
      <c r="J112" s="262"/>
      <c r="K112" s="242"/>
    </row>
    <row r="113" spans="2:11">
      <c r="B113" s="242"/>
      <c r="C113" s="242"/>
      <c r="D113" s="242"/>
      <c r="E113" s="242"/>
      <c r="F113" s="206"/>
      <c r="G113" s="242"/>
      <c r="H113" s="260"/>
      <c r="I113" s="261"/>
      <c r="J113" s="262"/>
      <c r="K113" s="242"/>
    </row>
    <row r="114" spans="2:11">
      <c r="B114" s="242"/>
      <c r="C114" s="242"/>
      <c r="D114" s="242"/>
      <c r="E114" s="242"/>
      <c r="F114" s="206"/>
      <c r="G114" s="242"/>
      <c r="H114" s="260"/>
      <c r="I114" s="261"/>
      <c r="J114" s="262"/>
      <c r="K114" s="242"/>
    </row>
    <row r="115" spans="2:11">
      <c r="B115" s="242"/>
      <c r="C115" s="242"/>
      <c r="D115" s="242"/>
      <c r="E115" s="242"/>
      <c r="F115" s="206"/>
      <c r="G115" s="242"/>
      <c r="H115" s="260"/>
      <c r="I115" s="261"/>
      <c r="J115" s="262"/>
      <c r="K115" s="242"/>
    </row>
    <row r="116" spans="2:11">
      <c r="B116" s="242"/>
      <c r="C116" s="242"/>
      <c r="D116" s="242"/>
      <c r="E116" s="242"/>
      <c r="F116" s="206"/>
      <c r="G116" s="242"/>
      <c r="H116" s="260"/>
      <c r="I116" s="261"/>
      <c r="J116" s="262"/>
      <c r="K116" s="242"/>
    </row>
    <row r="117" spans="2:11">
      <c r="B117" s="242"/>
      <c r="C117" s="242"/>
      <c r="D117" s="242"/>
      <c r="E117" s="242"/>
      <c r="F117" s="206"/>
      <c r="G117" s="242"/>
      <c r="H117" s="260"/>
      <c r="I117" s="261"/>
      <c r="J117" s="262"/>
      <c r="K117" s="242"/>
    </row>
    <row r="118" spans="2:11">
      <c r="B118" s="242"/>
      <c r="C118" s="242"/>
      <c r="D118" s="242"/>
      <c r="E118" s="242"/>
      <c r="F118" s="206"/>
      <c r="G118" s="242"/>
      <c r="H118" s="260"/>
      <c r="I118" s="261"/>
      <c r="J118" s="262"/>
      <c r="K118" s="242"/>
    </row>
    <row r="119" spans="2:11">
      <c r="B119" s="242"/>
      <c r="C119" s="242"/>
      <c r="D119" s="242"/>
      <c r="E119" s="242"/>
      <c r="F119" s="206"/>
      <c r="G119" s="242"/>
      <c r="H119" s="260"/>
      <c r="I119" s="261"/>
      <c r="J119" s="262"/>
      <c r="K119" s="242"/>
    </row>
    <row r="120" spans="2:11">
      <c r="B120" s="242"/>
      <c r="C120" s="242"/>
      <c r="D120" s="242"/>
      <c r="E120" s="242"/>
      <c r="F120" s="206"/>
      <c r="G120" s="242"/>
      <c r="H120" s="260"/>
      <c r="I120" s="261"/>
      <c r="J120" s="262"/>
      <c r="K120" s="242"/>
    </row>
    <row r="121" spans="2:11">
      <c r="B121" s="242"/>
      <c r="C121" s="242"/>
      <c r="D121" s="242"/>
      <c r="E121" s="242"/>
      <c r="F121" s="206"/>
      <c r="G121" s="242"/>
      <c r="H121" s="260"/>
      <c r="I121" s="261"/>
      <c r="J121" s="262"/>
      <c r="K121" s="242"/>
    </row>
    <row r="122" spans="2:11">
      <c r="D122" s="242"/>
      <c r="E122" s="242"/>
      <c r="F122" s="206"/>
      <c r="G122" s="242"/>
      <c r="H122" s="260"/>
      <c r="I122" s="261"/>
      <c r="J122" s="262"/>
      <c r="K122" s="242"/>
    </row>
    <row r="123" spans="2:11">
      <c r="D123" s="242"/>
      <c r="E123" s="242"/>
      <c r="F123" s="206"/>
      <c r="G123" s="242"/>
      <c r="H123" s="260"/>
      <c r="I123" s="261"/>
      <c r="J123" s="262"/>
      <c r="K123" s="242"/>
    </row>
    <row r="124" spans="2:11">
      <c r="D124" s="242"/>
      <c r="E124" s="242"/>
      <c r="F124" s="206"/>
      <c r="G124" s="242"/>
      <c r="H124" s="260"/>
      <c r="I124" s="261"/>
      <c r="J124" s="262"/>
      <c r="K124" s="242"/>
    </row>
    <row r="125" spans="2:11">
      <c r="D125" s="242"/>
      <c r="E125" s="242"/>
      <c r="F125" s="206"/>
      <c r="G125" s="242"/>
      <c r="H125" s="260"/>
      <c r="I125" s="261"/>
      <c r="J125" s="262"/>
      <c r="K125" s="242"/>
    </row>
    <row r="126" spans="2:11">
      <c r="D126" s="242"/>
      <c r="E126" s="242"/>
      <c r="F126" s="206"/>
      <c r="G126" s="242"/>
      <c r="H126" s="260"/>
      <c r="I126" s="261"/>
      <c r="J126" s="262"/>
      <c r="K126" s="242"/>
    </row>
    <row r="127" spans="2:11">
      <c r="D127" s="242"/>
      <c r="E127" s="242"/>
      <c r="F127" s="206"/>
      <c r="G127" s="242"/>
      <c r="H127" s="260"/>
      <c r="I127" s="261"/>
      <c r="J127" s="262"/>
      <c r="K127" s="242"/>
    </row>
    <row r="128" spans="2:11">
      <c r="D128" s="242"/>
      <c r="E128" s="242"/>
      <c r="F128" s="206"/>
      <c r="G128" s="242"/>
      <c r="H128" s="260"/>
      <c r="I128" s="261"/>
      <c r="J128" s="262"/>
      <c r="K128" s="242"/>
    </row>
    <row r="129" spans="4:11">
      <c r="D129" s="242"/>
      <c r="E129" s="242"/>
      <c r="F129" s="206"/>
      <c r="G129" s="242"/>
      <c r="H129" s="260"/>
      <c r="I129" s="261"/>
      <c r="J129" s="262"/>
      <c r="K129" s="242"/>
    </row>
    <row r="130" spans="4:11">
      <c r="D130" s="242"/>
      <c r="E130" s="242"/>
      <c r="F130" s="206"/>
      <c r="G130" s="242"/>
      <c r="H130" s="260"/>
      <c r="I130" s="261"/>
      <c r="J130" s="262"/>
      <c r="K130" s="242"/>
    </row>
    <row r="131" spans="4:11">
      <c r="D131" s="242"/>
      <c r="E131" s="242"/>
      <c r="F131" s="206"/>
      <c r="G131" s="242"/>
      <c r="H131" s="260"/>
      <c r="I131" s="261"/>
      <c r="J131" s="262"/>
      <c r="K131" s="242"/>
    </row>
    <row r="132" spans="4:11">
      <c r="D132" s="242"/>
      <c r="E132" s="242"/>
      <c r="F132" s="206"/>
      <c r="G132" s="242"/>
      <c r="H132" s="260"/>
      <c r="I132" s="261"/>
      <c r="J132" s="262"/>
      <c r="K132" s="242"/>
    </row>
    <row r="133" spans="4:11">
      <c r="D133" s="242"/>
      <c r="E133" s="242"/>
      <c r="F133" s="206"/>
      <c r="G133" s="242"/>
      <c r="H133" s="260"/>
      <c r="I133" s="261"/>
      <c r="J133" s="262"/>
      <c r="K133" s="242"/>
    </row>
    <row r="134" spans="4:11">
      <c r="D134" s="242"/>
      <c r="E134" s="242"/>
      <c r="F134" s="206"/>
      <c r="G134" s="242"/>
      <c r="H134" s="260"/>
      <c r="I134" s="261"/>
      <c r="J134" s="262"/>
      <c r="K134" s="242"/>
    </row>
    <row r="135" spans="4:11">
      <c r="D135" s="242"/>
      <c r="E135" s="242"/>
      <c r="F135" s="206"/>
      <c r="G135" s="242"/>
      <c r="H135" s="260"/>
      <c r="I135" s="261"/>
      <c r="J135" s="262"/>
      <c r="K135" s="242"/>
    </row>
    <row r="136" spans="4:11">
      <c r="D136" s="242"/>
      <c r="E136" s="242"/>
      <c r="F136" s="206"/>
      <c r="G136" s="242"/>
      <c r="H136" s="260"/>
      <c r="I136" s="261"/>
      <c r="J136" s="262"/>
      <c r="K136" s="242"/>
    </row>
    <row r="137" spans="4:11">
      <c r="D137" s="242"/>
      <c r="E137" s="242"/>
      <c r="F137" s="206"/>
      <c r="G137" s="242"/>
      <c r="H137" s="260"/>
      <c r="I137" s="261"/>
      <c r="J137" s="262"/>
      <c r="K137" s="242"/>
    </row>
    <row r="138" spans="4:11">
      <c r="D138" s="242"/>
      <c r="E138" s="242"/>
      <c r="F138" s="206"/>
      <c r="G138" s="242"/>
      <c r="H138" s="260"/>
      <c r="I138" s="261"/>
      <c r="J138" s="262"/>
      <c r="K138" s="242"/>
    </row>
    <row r="139" spans="4:11">
      <c r="D139" s="242"/>
      <c r="E139" s="242"/>
      <c r="F139" s="206"/>
      <c r="G139" s="242"/>
      <c r="H139" s="260"/>
      <c r="I139" s="261"/>
      <c r="J139" s="262"/>
    </row>
    <row r="140" spans="4:11">
      <c r="D140" s="242"/>
      <c r="E140" s="242"/>
      <c r="F140" s="206"/>
      <c r="G140" s="242"/>
      <c r="H140" s="260"/>
      <c r="I140" s="261"/>
      <c r="J140" s="262"/>
    </row>
    <row r="141" spans="4:11">
      <c r="D141" s="242"/>
      <c r="E141" s="242"/>
      <c r="F141" s="206"/>
      <c r="G141" s="242"/>
      <c r="H141" s="260"/>
      <c r="I141" s="261"/>
      <c r="J141" s="262"/>
    </row>
    <row r="142" spans="4:11">
      <c r="D142" s="242"/>
      <c r="E142" s="242"/>
      <c r="F142" s="206"/>
      <c r="G142" s="242"/>
      <c r="H142" s="260"/>
      <c r="I142" s="261"/>
      <c r="J142" s="262"/>
    </row>
    <row r="143" spans="4:11">
      <c r="D143" s="242"/>
      <c r="E143" s="242"/>
      <c r="F143" s="206"/>
      <c r="G143" s="242"/>
      <c r="H143" s="260"/>
      <c r="I143" s="261"/>
      <c r="J143" s="262"/>
    </row>
    <row r="144" spans="4:11">
      <c r="D144" s="242"/>
      <c r="E144" s="242"/>
      <c r="F144" s="206"/>
      <c r="G144" s="242"/>
      <c r="H144" s="260"/>
      <c r="I144" s="261"/>
      <c r="J144" s="262"/>
    </row>
    <row r="145" spans="4:10">
      <c r="D145" s="242"/>
      <c r="E145" s="242"/>
      <c r="F145" s="206"/>
      <c r="G145" s="242"/>
      <c r="H145" s="260"/>
      <c r="I145" s="261"/>
      <c r="J145" s="262"/>
    </row>
    <row r="146" spans="4:10">
      <c r="D146" s="242"/>
      <c r="E146" s="242"/>
      <c r="F146" s="206"/>
      <c r="G146" s="242"/>
      <c r="H146" s="260"/>
      <c r="I146" s="266"/>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62"/>
    </row>
    <row r="184" spans="4:10">
      <c r="D184" s="242"/>
      <c r="E184" s="242"/>
      <c r="F184" s="206"/>
      <c r="G184" s="242"/>
      <c r="H184" s="260"/>
      <c r="I184" s="266"/>
      <c r="J184" s="262"/>
    </row>
    <row r="185" spans="4:10">
      <c r="D185" s="242"/>
      <c r="E185" s="242"/>
      <c r="F185" s="206"/>
      <c r="G185" s="242"/>
      <c r="H185" s="260"/>
      <c r="I185" s="266"/>
      <c r="J185" s="262"/>
    </row>
    <row r="186" spans="4:10">
      <c r="D186" s="242"/>
      <c r="E186" s="242"/>
      <c r="F186" s="206"/>
      <c r="G186" s="242"/>
      <c r="H186" s="260"/>
      <c r="I186" s="266"/>
      <c r="J186" s="262"/>
    </row>
    <row r="187" spans="4:10">
      <c r="D187" s="242"/>
      <c r="E187" s="242"/>
      <c r="F187" s="206"/>
      <c r="G187" s="242"/>
      <c r="H187" s="260"/>
      <c r="I187" s="266"/>
      <c r="J187" s="262"/>
    </row>
    <row r="188" spans="4:10">
      <c r="D188" s="242"/>
      <c r="E188" s="242"/>
      <c r="F188" s="206"/>
      <c r="G188" s="242"/>
      <c r="H188" s="260"/>
      <c r="I188" s="266"/>
      <c r="J188" s="262"/>
    </row>
    <row r="189" spans="4:10">
      <c r="D189" s="242"/>
      <c r="E189" s="242"/>
      <c r="F189" s="206"/>
      <c r="G189" s="242"/>
      <c r="H189" s="260"/>
      <c r="I189" s="266"/>
      <c r="J189" s="262"/>
    </row>
    <row r="190" spans="4:10">
      <c r="D190" s="242"/>
      <c r="E190" s="242"/>
      <c r="F190" s="206"/>
      <c r="G190" s="242"/>
      <c r="H190" s="260"/>
      <c r="I190" s="266"/>
      <c r="J190" s="262"/>
    </row>
    <row r="191" spans="4:10">
      <c r="D191" s="242"/>
      <c r="E191" s="242"/>
      <c r="F191" s="206"/>
      <c r="G191" s="242"/>
      <c r="H191" s="260"/>
      <c r="I191" s="266"/>
      <c r="J191" s="206"/>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60"/>
      <c r="I253" s="266"/>
      <c r="J253" s="206"/>
    </row>
    <row r="254" spans="4:10">
      <c r="D254" s="242"/>
      <c r="E254" s="242"/>
      <c r="F254" s="206"/>
      <c r="G254" s="242"/>
      <c r="H254" s="260"/>
      <c r="I254" s="266"/>
      <c r="J254" s="206"/>
    </row>
    <row r="255" spans="4:10">
      <c r="D255" s="242"/>
      <c r="E255" s="242"/>
      <c r="F255" s="206"/>
      <c r="G255" s="242"/>
      <c r="H255" s="260"/>
      <c r="I255" s="266"/>
      <c r="J255" s="206"/>
    </row>
    <row r="256" spans="4:10">
      <c r="D256" s="242"/>
      <c r="E256" s="242"/>
      <c r="F256" s="206"/>
      <c r="G256" s="242"/>
      <c r="H256" s="260"/>
      <c r="I256" s="266"/>
      <c r="J256" s="206"/>
    </row>
    <row r="257" spans="4:10">
      <c r="D257" s="242"/>
      <c r="E257" s="242"/>
      <c r="F257" s="206"/>
      <c r="G257" s="242"/>
      <c r="H257" s="260"/>
      <c r="I257" s="266"/>
      <c r="J257" s="206"/>
    </row>
    <row r="258" spans="4:10">
      <c r="D258" s="242"/>
      <c r="E258" s="242"/>
      <c r="F258" s="206"/>
      <c r="G258" s="242"/>
      <c r="H258" s="260"/>
      <c r="I258" s="266"/>
      <c r="J258" s="206"/>
    </row>
    <row r="259" spans="4:10">
      <c r="D259" s="242"/>
      <c r="E259" s="242"/>
      <c r="F259" s="206"/>
      <c r="G259" s="242"/>
      <c r="H259" s="260"/>
      <c r="I259" s="266"/>
      <c r="J259" s="206"/>
    </row>
    <row r="260" spans="4:10">
      <c r="D260" s="242"/>
      <c r="E260" s="242"/>
      <c r="F260" s="206"/>
      <c r="G260" s="242"/>
      <c r="H260" s="260"/>
      <c r="I260" s="266"/>
      <c r="J260" s="206"/>
    </row>
    <row r="261" spans="4:10">
      <c r="D261" s="242"/>
      <c r="E261" s="242"/>
      <c r="F261" s="206"/>
      <c r="G261" s="242"/>
      <c r="H261" s="206"/>
      <c r="I261" s="266"/>
      <c r="J261" s="206"/>
    </row>
    <row r="262" spans="4:10">
      <c r="D262" s="242"/>
      <c r="E262" s="242"/>
      <c r="F262" s="206"/>
      <c r="G262" s="242"/>
      <c r="H262" s="206"/>
      <c r="I262" s="266"/>
      <c r="J262" s="206"/>
    </row>
    <row r="263" spans="4:10">
      <c r="D263" s="242"/>
      <c r="E263" s="242"/>
      <c r="F263" s="206"/>
      <c r="G263" s="242"/>
      <c r="H263" s="206"/>
      <c r="I263" s="266"/>
      <c r="J263" s="206"/>
    </row>
    <row r="264" spans="4:10">
      <c r="D264" s="242"/>
      <c r="E264" s="242"/>
      <c r="F264" s="206"/>
      <c r="G264" s="242"/>
      <c r="H264" s="206"/>
      <c r="I264" s="266"/>
      <c r="J264" s="206"/>
    </row>
    <row r="265" spans="4:10">
      <c r="D265" s="242"/>
      <c r="E265" s="242"/>
      <c r="F265" s="206"/>
      <c r="G265" s="242"/>
      <c r="H265" s="206"/>
      <c r="I265" s="266"/>
      <c r="J265" s="206"/>
    </row>
    <row r="266" spans="4:10">
      <c r="D266" s="242"/>
      <c r="E266" s="242"/>
      <c r="F266" s="206"/>
      <c r="G266" s="242"/>
      <c r="H266" s="206"/>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D272" s="242"/>
      <c r="E272" s="242"/>
      <c r="F272" s="206"/>
      <c r="G272" s="242"/>
      <c r="H272" s="206"/>
      <c r="I272" s="266"/>
      <c r="J272" s="206"/>
    </row>
    <row r="273" spans="4:10">
      <c r="D273" s="242"/>
      <c r="E273" s="242"/>
      <c r="F273" s="206"/>
      <c r="G273" s="242"/>
      <c r="H273" s="206"/>
      <c r="I273" s="266"/>
      <c r="J273" s="206"/>
    </row>
    <row r="274" spans="4:10">
      <c r="D274" s="242"/>
      <c r="E274" s="242"/>
      <c r="F274" s="206"/>
      <c r="G274" s="242"/>
      <c r="H274" s="206"/>
      <c r="I274" s="266"/>
      <c r="J274" s="206"/>
    </row>
    <row r="275" spans="4:10">
      <c r="D275" s="242"/>
      <c r="E275" s="242"/>
      <c r="F275" s="206"/>
      <c r="G275" s="242"/>
      <c r="H275" s="206"/>
      <c r="I275" s="266"/>
      <c r="J275" s="206"/>
    </row>
    <row r="276" spans="4:10">
      <c r="D276" s="242"/>
      <c r="E276" s="242"/>
      <c r="F276" s="206"/>
      <c r="G276" s="242"/>
      <c r="H276" s="206"/>
      <c r="I276" s="266"/>
      <c r="J276" s="206"/>
    </row>
    <row r="277" spans="4:10">
      <c r="D277" s="242"/>
      <c r="E277" s="242"/>
      <c r="F277" s="206"/>
      <c r="G277" s="242"/>
      <c r="H277" s="206"/>
      <c r="I277" s="266"/>
      <c r="J277" s="206"/>
    </row>
    <row r="278" spans="4:10">
      <c r="D278" s="242"/>
      <c r="E278" s="242"/>
      <c r="F278" s="206"/>
      <c r="G278" s="242"/>
      <c r="H278" s="206"/>
      <c r="I278" s="266"/>
      <c r="J278" s="206"/>
    </row>
    <row r="279" spans="4:10">
      <c r="D279" s="242"/>
      <c r="E279" s="242"/>
      <c r="F279" s="206"/>
      <c r="G279" s="242"/>
      <c r="H279" s="206"/>
      <c r="I279" s="266"/>
      <c r="J279" s="206"/>
    </row>
    <row r="280" spans="4:10">
      <c r="D280" s="242"/>
      <c r="E280" s="242"/>
      <c r="F280" s="206"/>
      <c r="G280" s="242"/>
      <c r="H280" s="206"/>
      <c r="I280" s="266"/>
      <c r="J280" s="206"/>
    </row>
    <row r="281" spans="4:10">
      <c r="D281" s="242"/>
      <c r="E281" s="242"/>
      <c r="F281" s="206"/>
      <c r="G281" s="242"/>
      <c r="H281" s="206"/>
      <c r="I281" s="266"/>
      <c r="J281" s="206"/>
    </row>
    <row r="282" spans="4:10">
      <c r="D282" s="242"/>
      <c r="E282" s="242"/>
      <c r="F282" s="206"/>
      <c r="G282" s="242"/>
      <c r="H282" s="206"/>
      <c r="I282" s="266"/>
      <c r="J282" s="206"/>
    </row>
    <row r="283" spans="4:10">
      <c r="D283" s="242"/>
      <c r="E283" s="242"/>
      <c r="F283" s="206"/>
      <c r="G283" s="242"/>
      <c r="H283" s="206"/>
      <c r="I283" s="266"/>
      <c r="J283" s="206"/>
    </row>
    <row r="284" spans="4:10">
      <c r="D284" s="242"/>
      <c r="E284" s="242"/>
      <c r="F284" s="206"/>
      <c r="G284" s="242"/>
      <c r="H284" s="206"/>
      <c r="I284" s="266"/>
      <c r="J284" s="206"/>
    </row>
    <row r="285" spans="4:10">
      <c r="I285" s="267"/>
    </row>
    <row r="286" spans="4:10">
      <c r="I286" s="267"/>
    </row>
    <row r="287" spans="4:10">
      <c r="I287" s="267"/>
    </row>
    <row r="288" spans="4:10">
      <c r="I288" s="267"/>
    </row>
    <row r="289" spans="1:28">
      <c r="I289" s="267"/>
    </row>
    <row r="290" spans="1:28">
      <c r="I290" s="267"/>
    </row>
    <row r="291" spans="1:28">
      <c r="I291" s="267"/>
    </row>
    <row r="292" spans="1:28">
      <c r="I292" s="267"/>
    </row>
    <row r="299" spans="1:28" s="104" customFormat="1">
      <c r="A299"/>
      <c r="B299"/>
      <c r="C299"/>
      <c r="D299"/>
      <c r="E299"/>
      <c r="F299" s="105"/>
      <c r="G299"/>
      <c r="I299" s="108"/>
      <c r="K299"/>
      <c r="L299"/>
      <c r="M299"/>
      <c r="N299"/>
      <c r="O299"/>
      <c r="P299"/>
      <c r="Q299"/>
      <c r="R299"/>
      <c r="S299"/>
      <c r="T299"/>
      <c r="U299"/>
      <c r="V299"/>
      <c r="W299"/>
      <c r="X299"/>
      <c r="Y299"/>
      <c r="Z299"/>
      <c r="AA299"/>
      <c r="AB299"/>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rowBreaks count="1" manualBreakCount="1">
    <brk id="39" max="9"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B300"/>
  <sheetViews>
    <sheetView view="pageBreakPreview" topLeftCell="A52" zoomScale="130" zoomScaleSheetLayoutView="130" workbookViewId="0">
      <selection activeCell="H73" sqref="H73"/>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40</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Q19+Q20</f>
        <v>119.12</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f>R13+R14</f>
        <v>6</v>
      </c>
      <c r="G11" s="167"/>
      <c r="H11" s="176"/>
      <c r="I11" s="163"/>
      <c r="J11" s="176">
        <f>F11*H11</f>
        <v>0</v>
      </c>
      <c r="K11" s="136"/>
      <c r="L11" s="136" t="s">
        <v>466</v>
      </c>
      <c r="N11">
        <v>0</v>
      </c>
      <c r="O11">
        <v>16.079999999999998</v>
      </c>
      <c r="P11">
        <v>0</v>
      </c>
      <c r="Q11">
        <v>350.45</v>
      </c>
      <c r="R11">
        <v>350.29</v>
      </c>
      <c r="S11">
        <v>0.16</v>
      </c>
      <c r="T11">
        <v>0</v>
      </c>
      <c r="U11">
        <v>0</v>
      </c>
      <c r="V11">
        <v>0</v>
      </c>
      <c r="W11">
        <v>341.17</v>
      </c>
      <c r="X11">
        <v>203.32</v>
      </c>
      <c r="Y11">
        <v>60.87</v>
      </c>
      <c r="Z11">
        <v>63.82</v>
      </c>
      <c r="AA11">
        <v>13.16</v>
      </c>
      <c r="AB11">
        <v>203.32</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1</v>
      </c>
      <c r="G13" s="167"/>
      <c r="H13" s="176"/>
      <c r="I13" s="182"/>
      <c r="J13" s="176">
        <f>F13*H13</f>
        <v>0</v>
      </c>
      <c r="K13" s="136"/>
      <c r="L13" s="136" t="s">
        <v>179</v>
      </c>
      <c r="M13" t="s">
        <v>389</v>
      </c>
      <c r="N13">
        <v>1</v>
      </c>
      <c r="O13" t="s">
        <v>390</v>
      </c>
      <c r="P13" t="s">
        <v>391</v>
      </c>
      <c r="Q13">
        <v>1000</v>
      </c>
      <c r="R13">
        <v>5</v>
      </c>
    </row>
    <row r="14" spans="1:28" ht="14.25">
      <c r="A14" s="172"/>
      <c r="B14" s="173"/>
      <c r="C14" s="173"/>
      <c r="D14" s="165"/>
      <c r="E14" s="165"/>
      <c r="F14" s="166"/>
      <c r="G14" s="167"/>
      <c r="H14" s="168"/>
      <c r="I14" s="182"/>
      <c r="J14" s="168"/>
      <c r="K14" s="136"/>
      <c r="L14" s="136" t="s">
        <v>177</v>
      </c>
      <c r="M14" t="s">
        <v>389</v>
      </c>
      <c r="N14">
        <v>11</v>
      </c>
      <c r="O14" t="s">
        <v>392</v>
      </c>
      <c r="P14" t="s">
        <v>391</v>
      </c>
      <c r="Q14">
        <v>1000</v>
      </c>
      <c r="R14">
        <v>1</v>
      </c>
    </row>
    <row r="15" spans="1:28" ht="14.25">
      <c r="A15" s="172" t="s">
        <v>67</v>
      </c>
      <c r="B15" s="173" t="s">
        <v>74</v>
      </c>
      <c r="C15" s="173"/>
      <c r="D15" s="174" t="s">
        <v>190</v>
      </c>
      <c r="E15" s="165"/>
      <c r="F15" s="175">
        <v>1</v>
      </c>
      <c r="G15" s="167"/>
      <c r="H15" s="176"/>
      <c r="I15" s="182"/>
      <c r="J15" s="176">
        <f>F15*H15</f>
        <v>0</v>
      </c>
      <c r="K15" s="136"/>
      <c r="L15" s="136"/>
    </row>
    <row r="16" spans="1:28" ht="14.25">
      <c r="A16" s="172"/>
      <c r="B16" s="173"/>
      <c r="C16" s="173"/>
      <c r="D16" s="165"/>
      <c r="E16" s="165"/>
      <c r="F16" s="166"/>
      <c r="G16" s="167"/>
      <c r="H16" s="168"/>
      <c r="I16" s="182"/>
      <c r="J16" s="168"/>
      <c r="K16" s="136"/>
      <c r="L16" s="136"/>
    </row>
    <row r="17" spans="1:17" ht="15" thickBot="1">
      <c r="A17" s="183"/>
      <c r="B17" s="184" t="s">
        <v>75</v>
      </c>
      <c r="C17" s="184"/>
      <c r="D17" s="185"/>
      <c r="E17" s="185"/>
      <c r="F17" s="186"/>
      <c r="G17" s="185"/>
      <c r="H17" s="187"/>
      <c r="I17" s="188"/>
      <c r="J17" s="189">
        <f>SUM(J9:J15)</f>
        <v>0</v>
      </c>
      <c r="K17" s="136"/>
      <c r="L17" s="136"/>
    </row>
    <row r="18" spans="1:17" ht="15" thickTop="1">
      <c r="A18" s="190"/>
      <c r="B18" s="191"/>
      <c r="C18" s="191"/>
      <c r="D18" s="192"/>
      <c r="E18" s="192"/>
      <c r="F18" s="165"/>
      <c r="G18" s="192"/>
      <c r="H18" s="193"/>
      <c r="I18" s="182"/>
      <c r="J18" s="194"/>
      <c r="K18" s="136"/>
      <c r="L18" s="136" t="s">
        <v>221</v>
      </c>
      <c r="N18" t="s">
        <v>239</v>
      </c>
      <c r="P18" t="s">
        <v>238</v>
      </c>
      <c r="Q18" s="450" t="s">
        <v>394</v>
      </c>
    </row>
    <row r="19" spans="1:17" ht="14.25">
      <c r="A19" s="190"/>
      <c r="B19" s="191"/>
      <c r="C19" s="191"/>
      <c r="D19" s="192"/>
      <c r="E19" s="192"/>
      <c r="F19" s="165"/>
      <c r="G19" s="192"/>
      <c r="H19" s="193"/>
      <c r="I19" s="182"/>
      <c r="J19" s="194"/>
      <c r="K19" s="136"/>
      <c r="L19" s="136" t="s">
        <v>407</v>
      </c>
      <c r="N19">
        <v>311.7</v>
      </c>
      <c r="P19">
        <v>235.4</v>
      </c>
      <c r="Q19">
        <v>119.12</v>
      </c>
    </row>
    <row r="20" spans="1:17" ht="15">
      <c r="A20" s="195" t="s">
        <v>61</v>
      </c>
      <c r="B20" s="196" t="s">
        <v>76</v>
      </c>
      <c r="C20" s="196"/>
      <c r="D20" s="160"/>
      <c r="E20" s="160"/>
      <c r="F20" s="170"/>
      <c r="G20" s="171"/>
      <c r="H20" s="197"/>
      <c r="I20" s="180"/>
      <c r="J20" s="198"/>
      <c r="K20" s="136"/>
      <c r="L20" s="136" t="s">
        <v>414</v>
      </c>
      <c r="Q20">
        <v>0</v>
      </c>
    </row>
    <row r="21" spans="1:17" ht="15">
      <c r="A21" s="195"/>
      <c r="B21" s="453" t="s">
        <v>452</v>
      </c>
      <c r="C21" s="196"/>
      <c r="D21" s="160"/>
      <c r="E21" s="160"/>
      <c r="F21" s="170"/>
      <c r="G21" s="171"/>
      <c r="H21" s="197"/>
      <c r="I21" s="180"/>
      <c r="J21" s="198"/>
      <c r="K21" s="136"/>
      <c r="L21" s="136"/>
    </row>
    <row r="22" spans="1:17" ht="15">
      <c r="A22" s="195"/>
      <c r="B22" s="196"/>
      <c r="C22" s="196"/>
      <c r="D22" s="160"/>
      <c r="E22" s="160"/>
      <c r="F22" s="170"/>
      <c r="G22" s="171"/>
      <c r="H22" s="197"/>
      <c r="I22" s="180"/>
      <c r="J22" s="198"/>
      <c r="K22" s="136"/>
      <c r="L22" s="136" t="s">
        <v>221</v>
      </c>
      <c r="M22" t="s">
        <v>238</v>
      </c>
      <c r="N22" t="s">
        <v>239</v>
      </c>
    </row>
    <row r="23" spans="1:17" ht="51">
      <c r="A23" s="203" t="s">
        <v>61</v>
      </c>
      <c r="B23" s="204" t="s">
        <v>22</v>
      </c>
      <c r="C23" s="205"/>
      <c r="D23" s="206"/>
      <c r="E23" s="206"/>
      <c r="F23" s="207"/>
      <c r="G23" s="208"/>
      <c r="H23" s="209"/>
      <c r="I23" s="180"/>
      <c r="J23" s="194"/>
      <c r="K23" s="136"/>
      <c r="M23">
        <v>296.60000000000002</v>
      </c>
      <c r="N23">
        <v>139.85</v>
      </c>
    </row>
    <row r="24" spans="1:17" ht="15.75">
      <c r="A24" s="210"/>
      <c r="B24" s="205" t="s">
        <v>78</v>
      </c>
      <c r="C24" s="205"/>
      <c r="D24" s="211" t="s">
        <v>108</v>
      </c>
      <c r="E24" s="206"/>
      <c r="F24" s="212">
        <f>F9*1.4*0.95</f>
        <v>158.42959999999999</v>
      </c>
      <c r="G24" s="208"/>
      <c r="H24" s="213"/>
      <c r="I24" s="180"/>
      <c r="J24" s="202">
        <f>F24*H24</f>
        <v>0</v>
      </c>
      <c r="K24" s="136"/>
      <c r="M24">
        <v>376.6</v>
      </c>
      <c r="N24">
        <v>117.06</v>
      </c>
    </row>
    <row r="25" spans="1:17" ht="14.25">
      <c r="A25" s="203"/>
      <c r="B25" s="205" t="s">
        <v>79</v>
      </c>
      <c r="C25" s="205"/>
      <c r="D25" s="211" t="s">
        <v>108</v>
      </c>
      <c r="E25" s="206"/>
      <c r="F25" s="212">
        <f>F9*1.4*0.05</f>
        <v>8.3384</v>
      </c>
      <c r="G25" s="208"/>
      <c r="H25" s="213"/>
      <c r="I25" s="180"/>
      <c r="J25" s="202">
        <f>F25*H25</f>
        <v>0</v>
      </c>
      <c r="K25" s="136"/>
      <c r="L25" s="136"/>
    </row>
    <row r="26" spans="1:17" ht="14.25">
      <c r="A26" s="203"/>
      <c r="B26" s="173"/>
      <c r="C26" s="205"/>
      <c r="D26" s="214"/>
      <c r="E26" s="206"/>
      <c r="F26" s="207"/>
      <c r="G26" s="208"/>
      <c r="H26" s="215"/>
      <c r="I26" s="180"/>
      <c r="J26" s="194"/>
      <c r="K26" s="199"/>
      <c r="L26" s="199"/>
      <c r="N26" s="200"/>
      <c r="O26" s="200"/>
    </row>
    <row r="27" spans="1:17" ht="25.5">
      <c r="A27" s="203" t="s">
        <v>63</v>
      </c>
      <c r="B27" s="205" t="s">
        <v>21</v>
      </c>
      <c r="C27" s="205"/>
      <c r="D27" s="206"/>
      <c r="E27" s="206"/>
      <c r="F27" s="216"/>
      <c r="G27" s="217"/>
      <c r="H27" s="209"/>
      <c r="I27" s="180"/>
      <c r="J27" s="218"/>
      <c r="K27" s="199"/>
      <c r="L27" s="199"/>
      <c r="N27" s="200"/>
      <c r="O27" s="200"/>
    </row>
    <row r="28" spans="1:17" ht="14.25">
      <c r="A28" s="203"/>
      <c r="B28" s="205" t="s">
        <v>23</v>
      </c>
      <c r="C28" s="205"/>
      <c r="D28" s="211" t="s">
        <v>105</v>
      </c>
      <c r="E28" s="206"/>
      <c r="F28" s="220">
        <f>F9*0.8</f>
        <v>95.296000000000006</v>
      </c>
      <c r="G28" s="221"/>
      <c r="H28" s="213"/>
      <c r="I28" s="180"/>
      <c r="J28" s="202">
        <f>F28*H28</f>
        <v>0</v>
      </c>
      <c r="K28" s="199"/>
      <c r="L28" s="199"/>
      <c r="N28" s="200"/>
      <c r="O28" s="200"/>
    </row>
    <row r="29" spans="1:17" ht="14.25">
      <c r="A29" s="172"/>
      <c r="B29" s="173"/>
      <c r="C29" s="173"/>
      <c r="D29" s="165"/>
      <c r="E29" s="160"/>
      <c r="F29" s="222"/>
      <c r="G29" s="223"/>
      <c r="H29" s="215"/>
      <c r="I29" s="180"/>
      <c r="J29" s="194"/>
      <c r="K29" s="199"/>
      <c r="L29" s="199"/>
      <c r="N29" s="200"/>
      <c r="O29" s="200"/>
    </row>
    <row r="30" spans="1:17" ht="51">
      <c r="A30" s="172" t="s">
        <v>67</v>
      </c>
      <c r="B30" s="224" t="s">
        <v>80</v>
      </c>
      <c r="C30" s="225"/>
      <c r="D30" s="174" t="s">
        <v>108</v>
      </c>
      <c r="E30" s="160"/>
      <c r="F30" s="175">
        <f>AA11</f>
        <v>13.16</v>
      </c>
      <c r="G30" s="167"/>
      <c r="H30" s="213"/>
      <c r="I30" s="169"/>
      <c r="J30" s="202">
        <f>F30*H30</f>
        <v>0</v>
      </c>
      <c r="K30" s="200"/>
      <c r="L30" s="199"/>
      <c r="M30" s="200"/>
    </row>
    <row r="31" spans="1:17" ht="14.25">
      <c r="A31" s="172"/>
      <c r="B31" s="224"/>
      <c r="C31" s="225"/>
      <c r="D31" s="160"/>
      <c r="E31" s="160"/>
      <c r="F31" s="166"/>
      <c r="G31" s="167"/>
      <c r="H31" s="215"/>
      <c r="I31" s="169"/>
      <c r="J31" s="194"/>
      <c r="K31" s="200"/>
      <c r="L31" s="199"/>
      <c r="M31" s="200"/>
    </row>
    <row r="32" spans="1:17" ht="38.25">
      <c r="A32" s="172" t="s">
        <v>68</v>
      </c>
      <c r="B32" s="173" t="s">
        <v>24</v>
      </c>
      <c r="C32" s="225"/>
      <c r="D32" s="174" t="s">
        <v>108</v>
      </c>
      <c r="E32" s="160"/>
      <c r="F32" s="175">
        <f>Z11</f>
        <v>63.82</v>
      </c>
      <c r="G32" s="167"/>
      <c r="H32" s="213"/>
      <c r="I32" s="169"/>
      <c r="J32" s="202">
        <f>F32*H32</f>
        <v>0</v>
      </c>
      <c r="K32" s="200"/>
      <c r="L32" s="199"/>
      <c r="M32" s="200"/>
    </row>
    <row r="33" spans="1:15" ht="14.25">
      <c r="A33" s="172"/>
      <c r="B33" s="173"/>
      <c r="C33" s="225"/>
      <c r="D33" s="165"/>
      <c r="E33" s="160"/>
      <c r="F33" s="166"/>
      <c r="G33" s="167"/>
      <c r="H33" s="215"/>
      <c r="I33" s="169"/>
      <c r="J33" s="194"/>
      <c r="K33" s="200"/>
      <c r="L33" s="199"/>
      <c r="M33" s="200"/>
    </row>
    <row r="34" spans="1:15" ht="76.5">
      <c r="A34" s="172" t="s">
        <v>69</v>
      </c>
      <c r="B34" s="224" t="s">
        <v>25</v>
      </c>
      <c r="C34" s="226"/>
      <c r="D34" s="179"/>
      <c r="E34" s="179"/>
      <c r="F34" s="166"/>
      <c r="G34" s="167"/>
      <c r="H34" s="198"/>
      <c r="I34" s="163"/>
      <c r="J34" s="198"/>
      <c r="K34" s="171"/>
      <c r="L34" s="219"/>
      <c r="M34" s="200"/>
    </row>
    <row r="35" spans="1:15" ht="15">
      <c r="A35" s="172"/>
      <c r="B35" s="173" t="s">
        <v>78</v>
      </c>
      <c r="C35" s="173"/>
      <c r="D35" s="174" t="s">
        <v>108</v>
      </c>
      <c r="E35" s="160"/>
      <c r="F35" s="175">
        <f>(F24+F25-F30-F32)*0.95</f>
        <v>85.298600000000008</v>
      </c>
      <c r="G35" s="167"/>
      <c r="H35" s="213"/>
      <c r="I35" s="163"/>
      <c r="J35" s="202">
        <f>F35*H35</f>
        <v>0</v>
      </c>
      <c r="K35" s="171"/>
      <c r="L35" s="219"/>
      <c r="M35" s="200"/>
    </row>
    <row r="36" spans="1:15" ht="14.25">
      <c r="A36" s="172"/>
      <c r="B36" s="173" t="s">
        <v>79</v>
      </c>
      <c r="C36" s="173"/>
      <c r="D36" s="174" t="s">
        <v>108</v>
      </c>
      <c r="E36" s="160"/>
      <c r="F36" s="181">
        <f>(F24+F25-F30-F32)*0.05</f>
        <v>4.4894000000000007</v>
      </c>
      <c r="G36" s="167"/>
      <c r="H36" s="213"/>
      <c r="I36" s="163"/>
      <c r="J36" s="202">
        <f>F36*H36</f>
        <v>0</v>
      </c>
      <c r="K36" s="199"/>
      <c r="L36" s="199"/>
      <c r="M36" s="200"/>
      <c r="N36" s="200"/>
      <c r="O36" s="200"/>
    </row>
    <row r="37" spans="1:15" ht="14.25">
      <c r="A37" s="172"/>
      <c r="B37" s="173"/>
      <c r="C37" s="173"/>
      <c r="D37" s="165"/>
      <c r="E37" s="160"/>
      <c r="F37" s="166"/>
      <c r="G37" s="167"/>
      <c r="H37" s="215"/>
      <c r="I37" s="163"/>
      <c r="J37" s="194"/>
      <c r="K37" s="199"/>
      <c r="L37" s="199"/>
      <c r="M37" s="200"/>
      <c r="N37" s="200"/>
      <c r="O37" s="200"/>
    </row>
    <row r="38" spans="1:15" ht="14.25">
      <c r="A38" s="227"/>
      <c r="B38" s="228"/>
      <c r="C38" s="228"/>
      <c r="D38" s="230"/>
      <c r="E38" s="230"/>
      <c r="F38" s="710"/>
      <c r="G38" s="192"/>
      <c r="H38" s="194"/>
      <c r="I38" s="169"/>
      <c r="J38" s="194"/>
      <c r="K38" s="199"/>
      <c r="L38" s="199"/>
      <c r="M38" s="200"/>
      <c r="N38" s="200"/>
      <c r="O38" s="200"/>
    </row>
    <row r="39" spans="1:15" ht="14.25">
      <c r="A39" s="172"/>
      <c r="B39" s="224"/>
      <c r="C39" s="226"/>
      <c r="D39" s="160"/>
      <c r="E39" s="160"/>
      <c r="F39" s="166"/>
      <c r="G39" s="167"/>
      <c r="H39" s="215"/>
      <c r="I39" s="163"/>
      <c r="J39" s="194"/>
      <c r="K39" s="199"/>
      <c r="L39" s="199"/>
      <c r="M39" s="200"/>
      <c r="N39" s="200"/>
      <c r="O39" s="200"/>
    </row>
    <row r="40" spans="1:15" ht="25.5">
      <c r="A40" s="172" t="s">
        <v>72</v>
      </c>
      <c r="B40" s="228" t="s">
        <v>27</v>
      </c>
      <c r="C40" s="226"/>
      <c r="D40" s="174" t="s">
        <v>108</v>
      </c>
      <c r="E40" s="160"/>
      <c r="F40" s="175">
        <f>F24+F25-F35-F36</f>
        <v>76.97999999999999</v>
      </c>
      <c r="G40" s="167"/>
      <c r="H40" s="213"/>
      <c r="I40" s="163"/>
      <c r="J40" s="202">
        <f>F40*H40</f>
        <v>0</v>
      </c>
      <c r="K40" s="199"/>
      <c r="L40" s="199"/>
      <c r="M40" s="200"/>
      <c r="N40" s="200"/>
      <c r="O40" s="200"/>
    </row>
    <row r="41" spans="1:15">
      <c r="A41" s="172"/>
      <c r="B41" s="228"/>
      <c r="C41" s="226"/>
      <c r="D41" s="165"/>
      <c r="E41" s="160"/>
      <c r="F41" s="166"/>
      <c r="G41" s="167"/>
      <c r="H41" s="215"/>
      <c r="I41" s="163"/>
      <c r="J41" s="194"/>
      <c r="K41" s="217"/>
      <c r="L41" s="200"/>
      <c r="M41" s="200"/>
      <c r="N41" s="200"/>
      <c r="O41" s="200"/>
    </row>
    <row r="42" spans="1:15" ht="13.5" thickBot="1">
      <c r="A42" s="183"/>
      <c r="B42" s="232" t="s">
        <v>28</v>
      </c>
      <c r="C42" s="232"/>
      <c r="D42" s="233"/>
      <c r="E42" s="233"/>
      <c r="F42" s="234"/>
      <c r="G42" s="235"/>
      <c r="H42" s="189"/>
      <c r="I42" s="236"/>
      <c r="J42" s="189">
        <f>SUM(J22:J41)</f>
        <v>0</v>
      </c>
      <c r="K42" s="217"/>
      <c r="L42" s="200"/>
      <c r="M42" s="200"/>
      <c r="N42" s="200"/>
      <c r="O42" s="200"/>
    </row>
    <row r="43" spans="1:15" ht="13.5" thickTop="1">
      <c r="A43" s="190"/>
      <c r="B43" s="237"/>
      <c r="C43" s="237"/>
      <c r="D43" s="238"/>
      <c r="E43" s="238"/>
      <c r="F43" s="166"/>
      <c r="G43" s="167"/>
      <c r="H43" s="194"/>
      <c r="I43" s="169"/>
      <c r="J43" s="194"/>
      <c r="K43" s="217"/>
      <c r="L43" s="200"/>
      <c r="M43" s="200"/>
      <c r="N43" s="200"/>
      <c r="O43" s="200"/>
    </row>
    <row r="44" spans="1:15">
      <c r="A44" s="190"/>
      <c r="B44" s="237"/>
      <c r="C44" s="237"/>
      <c r="D44" s="238"/>
      <c r="E44" s="238"/>
      <c r="F44" s="166"/>
      <c r="G44" s="167"/>
      <c r="H44" s="194"/>
      <c r="I44" s="169"/>
      <c r="J44" s="194"/>
      <c r="K44" s="217"/>
      <c r="L44" s="200"/>
      <c r="M44" s="200"/>
      <c r="N44" s="200"/>
      <c r="O44" s="200"/>
    </row>
    <row r="45" spans="1:15" ht="15">
      <c r="A45" s="195" t="s">
        <v>63</v>
      </c>
      <c r="B45" s="239" t="s">
        <v>29</v>
      </c>
      <c r="C45" s="239"/>
      <c r="D45" s="160"/>
      <c r="E45" s="160"/>
      <c r="F45" s="170"/>
      <c r="G45" s="171"/>
      <c r="H45" s="198"/>
      <c r="I45" s="163"/>
      <c r="J45" s="198"/>
      <c r="K45" s="217"/>
      <c r="L45" s="200"/>
      <c r="M45" s="200"/>
      <c r="N45" s="200"/>
      <c r="O45" s="200"/>
    </row>
    <row r="46" spans="1:15" ht="15">
      <c r="A46" s="195"/>
      <c r="B46" s="239"/>
      <c r="C46" s="239"/>
      <c r="D46" s="160"/>
      <c r="E46" s="160"/>
      <c r="F46" s="170"/>
      <c r="G46" s="171"/>
      <c r="H46" s="198"/>
      <c r="I46" s="163"/>
      <c r="J46" s="198"/>
      <c r="K46" s="217"/>
      <c r="L46" s="200"/>
      <c r="M46" s="200"/>
    </row>
    <row r="47" spans="1:15" ht="38.25">
      <c r="A47" s="172" t="s">
        <v>58</v>
      </c>
      <c r="B47" s="226" t="s">
        <v>409</v>
      </c>
      <c r="C47" s="226"/>
      <c r="D47" s="632" t="s">
        <v>60</v>
      </c>
      <c r="E47" s="632"/>
      <c r="F47" s="711">
        <f>Q19</f>
        <v>119.12</v>
      </c>
      <c r="G47" s="712"/>
      <c r="H47" s="713"/>
      <c r="I47" s="636"/>
      <c r="J47" s="635">
        <f>F47*H47</f>
        <v>0</v>
      </c>
      <c r="K47" s="217"/>
      <c r="L47" s="200"/>
      <c r="M47" s="200"/>
      <c r="N47" s="200"/>
      <c r="O47" s="200"/>
    </row>
    <row r="48" spans="1:15">
      <c r="A48" s="172"/>
      <c r="B48" s="226"/>
      <c r="C48" s="226"/>
      <c r="D48" s="165"/>
      <c r="E48" s="165"/>
      <c r="F48" s="166"/>
      <c r="G48" s="167"/>
      <c r="H48" s="194"/>
      <c r="I48" s="169"/>
      <c r="J48" s="194"/>
      <c r="K48" s="217"/>
      <c r="L48" s="200"/>
      <c r="M48" s="200"/>
      <c r="N48" s="200"/>
      <c r="O48" s="200"/>
    </row>
    <row r="49" spans="1:15">
      <c r="A49" s="172"/>
      <c r="B49" s="226"/>
      <c r="C49" s="226"/>
      <c r="D49" s="165"/>
      <c r="E49" s="165"/>
      <c r="F49" s="222"/>
      <c r="G49" s="223"/>
      <c r="H49" s="215"/>
      <c r="I49" s="169"/>
      <c r="J49" s="194"/>
      <c r="K49" s="217"/>
      <c r="L49" s="200"/>
      <c r="M49" s="200"/>
      <c r="N49" s="200"/>
      <c r="O49" s="200"/>
    </row>
    <row r="50" spans="1:15">
      <c r="A50" s="172"/>
      <c r="B50" s="226"/>
      <c r="C50" s="226"/>
      <c r="D50" s="165"/>
      <c r="E50" s="165"/>
      <c r="F50" s="166"/>
      <c r="G50" s="167"/>
      <c r="H50" s="194"/>
      <c r="I50" s="169"/>
      <c r="J50" s="194"/>
      <c r="K50" s="217"/>
      <c r="L50" s="200"/>
      <c r="M50" s="200"/>
      <c r="N50" s="200"/>
      <c r="O50" s="200"/>
    </row>
    <row r="51" spans="1:15">
      <c r="A51" s="172"/>
      <c r="B51" s="226"/>
      <c r="C51" s="226"/>
      <c r="D51" s="160"/>
      <c r="E51" s="160"/>
      <c r="F51" s="170"/>
      <c r="G51" s="171"/>
      <c r="H51" s="198"/>
      <c r="I51" s="163"/>
      <c r="J51" s="198"/>
      <c r="K51" s="217"/>
      <c r="L51" s="200"/>
      <c r="M51" s="200"/>
      <c r="N51" s="200"/>
      <c r="O51" s="200"/>
    </row>
    <row r="52" spans="1:15" ht="51">
      <c r="A52" s="172" t="s">
        <v>61</v>
      </c>
      <c r="B52" s="241" t="s">
        <v>398</v>
      </c>
      <c r="C52" s="241"/>
      <c r="D52" s="165"/>
      <c r="E52" s="165"/>
      <c r="F52" s="166"/>
      <c r="G52" s="167"/>
      <c r="H52" s="198"/>
      <c r="I52" s="163"/>
      <c r="J52" s="198"/>
      <c r="K52" s="217"/>
      <c r="L52" s="200"/>
      <c r="M52" s="200"/>
      <c r="N52" s="200"/>
      <c r="O52" s="200"/>
    </row>
    <row r="53" spans="1:15">
      <c r="A53" s="172"/>
      <c r="B53" s="241"/>
      <c r="C53" s="241"/>
      <c r="D53" s="174" t="s">
        <v>190</v>
      </c>
      <c r="E53" s="165"/>
      <c r="F53" s="175">
        <f>R13</f>
        <v>5</v>
      </c>
      <c r="G53" s="167"/>
      <c r="H53" s="213"/>
      <c r="I53" s="163"/>
      <c r="J53" s="202">
        <f>F53*H53</f>
        <v>0</v>
      </c>
      <c r="K53" s="217"/>
      <c r="L53" s="200"/>
      <c r="M53" s="200"/>
      <c r="N53" s="200"/>
      <c r="O53" s="200"/>
    </row>
    <row r="54" spans="1:15">
      <c r="A54" s="172"/>
      <c r="B54" s="241"/>
      <c r="C54" s="241"/>
      <c r="D54" s="160"/>
      <c r="E54" s="160"/>
      <c r="F54" s="170"/>
      <c r="G54" s="171"/>
      <c r="H54" s="198"/>
      <c r="I54" s="163"/>
      <c r="J54" s="198"/>
      <c r="K54" s="217"/>
      <c r="L54" s="200"/>
      <c r="M54" s="200"/>
      <c r="N54" s="200"/>
      <c r="O54" s="200"/>
    </row>
    <row r="55" spans="1:15" ht="51">
      <c r="A55" s="172" t="s">
        <v>63</v>
      </c>
      <c r="B55" s="241" t="s">
        <v>397</v>
      </c>
      <c r="C55" s="241"/>
      <c r="D55" s="165"/>
      <c r="E55" s="165"/>
      <c r="F55" s="166"/>
      <c r="G55" s="167"/>
      <c r="H55" s="198"/>
      <c r="I55" s="163"/>
      <c r="J55" s="198"/>
      <c r="K55" s="217"/>
      <c r="L55" s="200"/>
      <c r="M55" s="200"/>
      <c r="N55" s="200"/>
      <c r="O55" s="200"/>
    </row>
    <row r="56" spans="1:15">
      <c r="A56" s="172"/>
      <c r="B56" s="241"/>
      <c r="C56" s="241"/>
      <c r="D56" s="174" t="s">
        <v>190</v>
      </c>
      <c r="E56" s="165"/>
      <c r="F56" s="175">
        <f>R14</f>
        <v>1</v>
      </c>
      <c r="G56" s="167"/>
      <c r="H56" s="213"/>
      <c r="I56" s="163"/>
      <c r="J56" s="202">
        <f>F56*H56</f>
        <v>0</v>
      </c>
      <c r="K56" s="217"/>
      <c r="L56" s="200"/>
      <c r="M56" s="200"/>
      <c r="N56" s="200"/>
      <c r="O56" s="200"/>
    </row>
    <row r="57" spans="1:15">
      <c r="A57" s="172"/>
      <c r="B57" s="241"/>
      <c r="C57" s="241"/>
      <c r="D57" s="160"/>
      <c r="E57" s="160"/>
      <c r="F57" s="170"/>
      <c r="G57" s="171"/>
      <c r="H57" s="198"/>
      <c r="I57" s="163"/>
      <c r="J57" s="198"/>
      <c r="K57" s="217"/>
      <c r="L57" s="200"/>
      <c r="M57" s="200"/>
      <c r="N57" s="200"/>
      <c r="O57" s="200"/>
    </row>
    <row r="58" spans="1:15" ht="102">
      <c r="A58" s="172" t="s">
        <v>67</v>
      </c>
      <c r="B58" s="241" t="s">
        <v>468</v>
      </c>
      <c r="C58" s="241"/>
      <c r="D58" s="165"/>
      <c r="E58" s="165"/>
      <c r="F58" s="166"/>
      <c r="G58" s="167"/>
      <c r="H58" s="198"/>
      <c r="I58" s="163"/>
      <c r="J58" s="198"/>
      <c r="K58" s="217"/>
      <c r="L58" s="200"/>
      <c r="M58" s="200"/>
      <c r="N58" s="200"/>
      <c r="O58" s="200"/>
    </row>
    <row r="59" spans="1:15">
      <c r="A59" s="172"/>
      <c r="B59" s="241"/>
      <c r="C59" s="241"/>
      <c r="D59" s="174" t="s">
        <v>190</v>
      </c>
      <c r="E59" s="165"/>
      <c r="F59" s="175">
        <v>1</v>
      </c>
      <c r="G59" s="167"/>
      <c r="H59" s="213"/>
      <c r="I59" s="163"/>
      <c r="J59" s="202">
        <f>F59*H59</f>
        <v>0</v>
      </c>
      <c r="K59" s="242"/>
    </row>
    <row r="60" spans="1:15">
      <c r="A60" s="172"/>
      <c r="B60" s="241"/>
      <c r="C60" s="241"/>
      <c r="D60" s="160"/>
      <c r="E60" s="160"/>
      <c r="F60" s="170"/>
      <c r="G60" s="171"/>
      <c r="H60" s="198"/>
      <c r="I60" s="163"/>
      <c r="J60" s="198"/>
      <c r="K60" s="242"/>
    </row>
    <row r="61" spans="1:15" ht="13.5" thickBot="1">
      <c r="A61" s="243"/>
      <c r="B61" s="244" t="s">
        <v>30</v>
      </c>
      <c r="C61" s="244"/>
      <c r="D61" s="186"/>
      <c r="E61" s="186"/>
      <c r="F61" s="234"/>
      <c r="G61" s="235"/>
      <c r="H61" s="189"/>
      <c r="I61" s="236"/>
      <c r="J61" s="189">
        <f>SUM(J47:J59)</f>
        <v>0</v>
      </c>
      <c r="K61" s="242"/>
    </row>
    <row r="62" spans="1:15" ht="13.5" thickTop="1">
      <c r="A62" s="245"/>
      <c r="B62" s="246"/>
      <c r="C62" s="246"/>
      <c r="D62" s="165"/>
      <c r="E62" s="165"/>
      <c r="F62" s="166"/>
      <c r="G62" s="167"/>
      <c r="H62" s="194"/>
      <c r="I62" s="169"/>
      <c r="J62" s="194"/>
      <c r="K62" s="242"/>
    </row>
    <row r="63" spans="1:15" ht="15.75">
      <c r="A63" s="247" t="s">
        <v>67</v>
      </c>
      <c r="B63" s="248" t="s">
        <v>31</v>
      </c>
      <c r="C63" s="248"/>
      <c r="D63" s="192"/>
      <c r="E63" s="192"/>
      <c r="F63" s="166"/>
      <c r="G63" s="167"/>
      <c r="H63" s="150"/>
      <c r="I63" s="163"/>
      <c r="J63" s="198"/>
      <c r="K63" s="242"/>
    </row>
    <row r="64" spans="1:15">
      <c r="A64" s="172"/>
      <c r="B64" s="249"/>
      <c r="C64" s="249"/>
      <c r="D64" s="250"/>
      <c r="E64" s="250"/>
      <c r="F64" s="170"/>
      <c r="G64" s="171"/>
      <c r="H64" s="150"/>
      <c r="I64" s="163"/>
      <c r="J64" s="198"/>
      <c r="K64" s="242"/>
    </row>
    <row r="65" spans="1:11" ht="25.5">
      <c r="A65" s="172" t="s">
        <v>58</v>
      </c>
      <c r="B65" s="173" t="s">
        <v>32</v>
      </c>
      <c r="C65" s="173"/>
      <c r="D65" s="251" t="s">
        <v>60</v>
      </c>
      <c r="E65" s="179"/>
      <c r="F65" s="175">
        <f>F9</f>
        <v>119.12</v>
      </c>
      <c r="G65" s="167"/>
      <c r="H65" s="213"/>
      <c r="I65" s="163"/>
      <c r="J65" s="202">
        <f>F65*H65</f>
        <v>0</v>
      </c>
      <c r="K65" s="242"/>
    </row>
    <row r="66" spans="1:11">
      <c r="A66" s="172"/>
      <c r="B66" s="173"/>
      <c r="C66" s="173"/>
      <c r="D66" s="179"/>
      <c r="E66" s="179"/>
      <c r="F66" s="170"/>
      <c r="G66" s="171"/>
      <c r="H66" s="150"/>
      <c r="I66" s="163"/>
      <c r="J66" s="198"/>
      <c r="K66" s="242"/>
    </row>
    <row r="67" spans="1:11">
      <c r="A67" s="172" t="s">
        <v>67</v>
      </c>
      <c r="B67" s="173" t="s">
        <v>33</v>
      </c>
      <c r="C67" s="173"/>
      <c r="D67" s="251" t="s">
        <v>60</v>
      </c>
      <c r="E67" s="179"/>
      <c r="F67" s="175">
        <f>F9</f>
        <v>119.12</v>
      </c>
      <c r="G67" s="167"/>
      <c r="H67" s="213"/>
      <c r="I67" s="163"/>
      <c r="J67" s="202">
        <f>F67*H67</f>
        <v>0</v>
      </c>
      <c r="K67" s="242"/>
    </row>
    <row r="68" spans="1:11">
      <c r="A68" s="172"/>
      <c r="B68" s="173"/>
      <c r="C68" s="173"/>
      <c r="D68" s="179"/>
      <c r="E68" s="179"/>
      <c r="F68" s="170"/>
      <c r="G68" s="171"/>
      <c r="H68" s="150"/>
      <c r="I68" s="163"/>
      <c r="J68" s="198"/>
      <c r="K68" s="242"/>
    </row>
    <row r="69" spans="1:11">
      <c r="A69" s="172" t="s">
        <v>68</v>
      </c>
      <c r="B69" s="173" t="s">
        <v>34</v>
      </c>
      <c r="C69" s="173"/>
      <c r="D69" s="251" t="s">
        <v>190</v>
      </c>
      <c r="E69" s="179"/>
      <c r="F69" s="175">
        <f>F53+F56</f>
        <v>6</v>
      </c>
      <c r="G69" s="167"/>
      <c r="H69" s="213"/>
      <c r="I69" s="163"/>
      <c r="J69" s="202">
        <f>F69*H69</f>
        <v>0</v>
      </c>
      <c r="K69" s="242"/>
    </row>
    <row r="70" spans="1:11">
      <c r="A70" s="172"/>
      <c r="B70" s="173"/>
      <c r="C70" s="173"/>
      <c r="D70" s="179"/>
      <c r="E70" s="179"/>
      <c r="F70" s="170"/>
      <c r="G70" s="171"/>
      <c r="H70" s="150"/>
      <c r="I70" s="163"/>
      <c r="J70" s="198"/>
      <c r="K70" s="242"/>
    </row>
    <row r="71" spans="1:11" ht="25.5">
      <c r="A71" s="172" t="s">
        <v>69</v>
      </c>
      <c r="B71" s="173" t="s">
        <v>35</v>
      </c>
      <c r="C71" s="173"/>
      <c r="D71" s="251" t="s">
        <v>60</v>
      </c>
      <c r="E71" s="179"/>
      <c r="F71" s="175">
        <f>F9</f>
        <v>119.12</v>
      </c>
      <c r="G71" s="167"/>
      <c r="H71" s="213"/>
      <c r="I71" s="163"/>
      <c r="J71" s="202">
        <f>F71*H71</f>
        <v>0</v>
      </c>
      <c r="K71" s="242"/>
    </row>
    <row r="72" spans="1:11">
      <c r="A72" s="172"/>
      <c r="B72" s="173"/>
      <c r="C72" s="173"/>
      <c r="D72" s="179"/>
      <c r="E72" s="179"/>
      <c r="F72" s="170"/>
      <c r="G72" s="171"/>
      <c r="H72" s="150"/>
      <c r="I72" s="163"/>
      <c r="J72" s="198"/>
      <c r="K72" s="242"/>
    </row>
    <row r="73" spans="1:11" ht="13.5" thickBot="1">
      <c r="A73" s="183"/>
      <c r="B73" s="252" t="s">
        <v>36</v>
      </c>
      <c r="C73" s="252"/>
      <c r="D73" s="253"/>
      <c r="E73" s="253"/>
      <c r="F73" s="234"/>
      <c r="G73" s="235"/>
      <c r="H73" s="254"/>
      <c r="I73" s="236"/>
      <c r="J73" s="189">
        <f>SUM(J65:J71)</f>
        <v>0</v>
      </c>
      <c r="K73" s="242"/>
    </row>
    <row r="74" spans="1:11" ht="13.5" thickTop="1">
      <c r="A74" s="190"/>
      <c r="B74" s="255"/>
      <c r="C74" s="255"/>
      <c r="D74" s="256"/>
      <c r="E74" s="256"/>
      <c r="F74" s="166"/>
      <c r="G74" s="167"/>
      <c r="H74" s="168"/>
      <c r="I74" s="169"/>
      <c r="J74" s="194"/>
      <c r="K74" s="242"/>
    </row>
    <row r="75" spans="1:11">
      <c r="A75" s="190"/>
      <c r="B75" s="255"/>
      <c r="C75" s="255"/>
      <c r="D75" s="256"/>
      <c r="E75" s="256"/>
      <c r="F75" s="166"/>
      <c r="G75" s="167"/>
      <c r="H75" s="168"/>
      <c r="I75" s="169"/>
      <c r="J75" s="194"/>
      <c r="K75" s="242"/>
    </row>
    <row r="76" spans="1:11">
      <c r="A76" s="190"/>
      <c r="B76" s="255"/>
      <c r="C76" s="255"/>
      <c r="D76" s="256"/>
      <c r="E76" s="256"/>
      <c r="F76" s="166"/>
      <c r="G76" s="167"/>
      <c r="H76" s="150"/>
      <c r="I76" s="163"/>
      <c r="J76" s="198"/>
      <c r="K76" s="242"/>
    </row>
    <row r="77" spans="1:11">
      <c r="A77" s="190"/>
      <c r="B77" s="255"/>
      <c r="C77" s="255"/>
      <c r="D77" s="256"/>
      <c r="E77" s="256"/>
      <c r="F77" s="166"/>
      <c r="G77" s="167"/>
      <c r="H77" s="150"/>
      <c r="I77" s="163"/>
      <c r="J77" s="198"/>
      <c r="K77" s="242"/>
    </row>
    <row r="78" spans="1:11">
      <c r="A78" s="190"/>
      <c r="B78" s="255"/>
      <c r="C78" s="255"/>
      <c r="D78" s="256"/>
      <c r="E78" s="256"/>
      <c r="F78" s="166"/>
      <c r="G78" s="167"/>
      <c r="H78" s="150"/>
      <c r="I78" s="163"/>
      <c r="J78" s="198"/>
      <c r="K78" s="242"/>
    </row>
    <row r="79" spans="1:11">
      <c r="A79" s="190"/>
      <c r="B79" s="255"/>
      <c r="C79" s="255"/>
      <c r="D79" s="256"/>
      <c r="E79" s="256"/>
      <c r="F79" s="166"/>
      <c r="G79" s="167"/>
      <c r="H79" s="150"/>
      <c r="I79" s="163"/>
      <c r="J79" s="198"/>
      <c r="K79" s="242"/>
    </row>
    <row r="80" spans="1:11">
      <c r="A80" s="190"/>
      <c r="B80" s="255"/>
      <c r="C80" s="255"/>
      <c r="D80" s="256"/>
      <c r="E80" s="256"/>
      <c r="F80" s="166"/>
      <c r="G80" s="167"/>
      <c r="H80" s="150"/>
      <c r="I80" s="163"/>
      <c r="J80" s="198"/>
      <c r="K80" s="242"/>
    </row>
    <row r="81" spans="1:18">
      <c r="A81" s="190"/>
      <c r="B81" s="255"/>
      <c r="C81" s="255"/>
      <c r="D81" s="256"/>
      <c r="E81" s="256"/>
      <c r="F81" s="166"/>
      <c r="G81" s="167"/>
      <c r="H81" s="150"/>
      <c r="I81" s="163"/>
      <c r="J81" s="198"/>
      <c r="K81" s="242"/>
    </row>
    <row r="82" spans="1:18">
      <c r="A82" s="190"/>
      <c r="B82" s="255"/>
      <c r="C82" s="255"/>
      <c r="D82" s="256"/>
      <c r="E82" s="256"/>
      <c r="F82" s="166"/>
      <c r="G82" s="167"/>
      <c r="H82" s="150"/>
      <c r="I82" s="163"/>
      <c r="J82" s="198"/>
      <c r="K82" s="242"/>
    </row>
    <row r="83" spans="1:18">
      <c r="A83" s="172"/>
      <c r="B83" s="258"/>
      <c r="C83" s="258"/>
      <c r="D83" s="257"/>
      <c r="E83" s="257"/>
      <c r="F83" s="170"/>
      <c r="G83" s="171"/>
      <c r="H83" s="150"/>
      <c r="I83" s="163"/>
      <c r="J83" s="198"/>
      <c r="K83" s="242"/>
    </row>
    <row r="84" spans="1:18">
      <c r="B84" s="242"/>
      <c r="C84" s="242"/>
      <c r="D84" s="242"/>
      <c r="E84" s="242"/>
      <c r="F84" s="206"/>
      <c r="G84" s="242"/>
      <c r="H84" s="260"/>
      <c r="I84" s="261"/>
      <c r="J84" s="262"/>
      <c r="K84" s="242"/>
    </row>
    <row r="85" spans="1:18">
      <c r="B85" s="242"/>
      <c r="C85" s="242"/>
      <c r="D85" s="242"/>
      <c r="E85" s="242"/>
      <c r="F85" s="206"/>
      <c r="G85" s="242"/>
      <c r="H85" s="260"/>
      <c r="I85" s="261"/>
      <c r="J85" s="262"/>
      <c r="K85" s="242"/>
    </row>
    <row r="86" spans="1:18">
      <c r="B86" s="242"/>
      <c r="C86" s="242"/>
      <c r="D86" s="242"/>
      <c r="E86" s="242"/>
      <c r="F86" s="206"/>
      <c r="G86" s="242"/>
      <c r="H86" s="260"/>
      <c r="I86" s="261"/>
      <c r="J86" s="262"/>
      <c r="K86" s="242"/>
    </row>
    <row r="87" spans="1:18">
      <c r="B87" s="242"/>
      <c r="C87" s="242"/>
      <c r="D87" s="242"/>
      <c r="E87" s="242"/>
      <c r="F87" s="206"/>
      <c r="G87" s="242"/>
      <c r="H87" s="260"/>
      <c r="I87" s="261"/>
      <c r="J87" s="262"/>
      <c r="K87" s="242"/>
    </row>
    <row r="88" spans="1:18">
      <c r="B88" s="242"/>
      <c r="C88" s="242"/>
      <c r="D88" s="242"/>
      <c r="E88" s="242"/>
      <c r="F88" s="206"/>
      <c r="G88" s="242"/>
      <c r="H88" s="260"/>
      <c r="I88" s="261"/>
      <c r="J88" s="262"/>
      <c r="K88" s="242"/>
      <c r="Q88" s="259"/>
      <c r="R88" s="259"/>
    </row>
    <row r="89" spans="1:18">
      <c r="B89" s="242"/>
      <c r="C89" s="242"/>
      <c r="D89" s="242"/>
      <c r="E89" s="242"/>
      <c r="F89" s="206"/>
      <c r="G89" s="242"/>
      <c r="H89" s="260"/>
      <c r="I89" s="261"/>
      <c r="J89" s="262"/>
      <c r="K89" s="242"/>
      <c r="Q89" s="259"/>
      <c r="R89" s="259"/>
    </row>
    <row r="90" spans="1:18">
      <c r="B90" s="242"/>
      <c r="C90" s="242"/>
      <c r="D90" s="242"/>
      <c r="E90" s="242"/>
      <c r="F90" s="206"/>
      <c r="G90" s="242"/>
      <c r="H90" s="260"/>
      <c r="I90" s="261"/>
      <c r="J90" s="262"/>
      <c r="K90" s="242"/>
      <c r="Q90" s="259"/>
      <c r="R90" s="259"/>
    </row>
    <row r="91" spans="1:18">
      <c r="B91" s="242"/>
      <c r="C91" s="242"/>
      <c r="D91" s="242"/>
      <c r="E91" s="242"/>
      <c r="F91" s="206"/>
      <c r="G91" s="242"/>
      <c r="H91" s="260"/>
      <c r="I91" s="261"/>
      <c r="J91" s="262"/>
      <c r="K91" s="242"/>
      <c r="Q91" s="259"/>
      <c r="R91" s="259"/>
    </row>
    <row r="92" spans="1:18">
      <c r="B92" s="242"/>
      <c r="C92" s="242"/>
      <c r="D92" s="242"/>
      <c r="E92" s="242"/>
      <c r="F92" s="206"/>
      <c r="G92" s="242"/>
      <c r="H92" s="260"/>
      <c r="I92" s="261"/>
      <c r="J92" s="262"/>
      <c r="K92" s="242"/>
      <c r="Q92" s="259"/>
      <c r="R92" s="259"/>
    </row>
    <row r="93" spans="1:18">
      <c r="B93" s="242"/>
      <c r="C93" s="242"/>
      <c r="D93" s="242"/>
      <c r="E93" s="242"/>
      <c r="F93" s="206"/>
      <c r="G93" s="242"/>
      <c r="H93" s="260"/>
      <c r="I93" s="261"/>
      <c r="J93" s="262"/>
      <c r="K93" s="242"/>
      <c r="Q93" s="259"/>
      <c r="R93" s="259"/>
    </row>
    <row r="94" spans="1:18">
      <c r="B94" s="242"/>
      <c r="C94" s="242"/>
      <c r="D94" s="242"/>
      <c r="E94" s="242"/>
      <c r="F94" s="206"/>
      <c r="G94" s="242"/>
      <c r="H94" s="260"/>
      <c r="I94" s="261"/>
      <c r="J94" s="262"/>
      <c r="K94" s="242"/>
      <c r="Q94" s="259"/>
      <c r="R94" s="259"/>
    </row>
    <row r="95" spans="1:18">
      <c r="B95" s="242"/>
      <c r="C95" s="242"/>
      <c r="D95" s="242"/>
      <c r="E95" s="242"/>
      <c r="F95" s="206"/>
      <c r="G95" s="242"/>
      <c r="H95" s="260"/>
      <c r="I95" s="261"/>
      <c r="J95" s="262"/>
      <c r="K95" s="242"/>
      <c r="Q95" s="259"/>
      <c r="R95" s="259"/>
    </row>
    <row r="96" spans="1:18">
      <c r="B96" s="242"/>
      <c r="C96" s="242"/>
      <c r="D96" s="242"/>
      <c r="E96" s="242"/>
      <c r="F96" s="206"/>
      <c r="G96" s="242"/>
      <c r="H96" s="260"/>
      <c r="I96" s="261"/>
      <c r="J96" s="262"/>
      <c r="K96" s="242"/>
      <c r="Q96" s="259"/>
      <c r="R96" s="259"/>
    </row>
    <row r="97" spans="2:18">
      <c r="B97" s="242"/>
      <c r="C97" s="242"/>
      <c r="D97" s="242"/>
      <c r="E97" s="242"/>
      <c r="F97" s="206"/>
      <c r="G97" s="242"/>
      <c r="H97" s="260"/>
      <c r="I97" s="261"/>
      <c r="J97" s="262"/>
      <c r="K97" s="242"/>
      <c r="Q97" s="259"/>
      <c r="R97" s="259"/>
    </row>
    <row r="98" spans="2:18">
      <c r="B98" s="242"/>
      <c r="C98" s="242"/>
      <c r="D98" s="242"/>
      <c r="E98" s="242"/>
      <c r="F98" s="206"/>
      <c r="G98" s="242"/>
      <c r="H98" s="260"/>
      <c r="I98" s="261"/>
      <c r="J98" s="262"/>
      <c r="K98" s="263"/>
      <c r="L98" s="263"/>
      <c r="M98" s="264"/>
      <c r="Q98" s="259"/>
      <c r="R98" s="259"/>
    </row>
    <row r="99" spans="2:18">
      <c r="B99" s="242"/>
      <c r="C99" s="242"/>
      <c r="D99" s="242"/>
      <c r="E99" s="242"/>
      <c r="F99" s="206"/>
      <c r="G99" s="242"/>
      <c r="H99" s="260"/>
      <c r="I99" s="261"/>
      <c r="J99" s="262"/>
      <c r="K99" s="265"/>
      <c r="L99" s="265"/>
      <c r="M99" s="264"/>
    </row>
    <row r="100" spans="2:18">
      <c r="B100" s="242"/>
      <c r="C100" s="242"/>
      <c r="D100" s="242"/>
      <c r="E100" s="242"/>
      <c r="F100" s="206"/>
      <c r="G100" s="242"/>
      <c r="H100" s="260"/>
      <c r="I100" s="261"/>
      <c r="J100" s="262"/>
      <c r="K100" s="261"/>
      <c r="L100" s="261"/>
      <c r="M100" s="264"/>
    </row>
    <row r="101" spans="2:18">
      <c r="B101" s="242"/>
      <c r="C101" s="242"/>
      <c r="D101" s="242"/>
      <c r="E101" s="242"/>
      <c r="F101" s="206"/>
      <c r="G101" s="242"/>
      <c r="H101" s="260"/>
      <c r="I101" s="261"/>
      <c r="J101" s="262"/>
      <c r="K101" s="242"/>
    </row>
    <row r="102" spans="2:18">
      <c r="B102" s="242"/>
      <c r="C102" s="242"/>
      <c r="D102" s="242"/>
      <c r="E102" s="242"/>
      <c r="F102" s="206"/>
      <c r="G102" s="242"/>
      <c r="H102" s="260"/>
      <c r="I102" s="261"/>
      <c r="J102" s="262"/>
      <c r="K102" s="242"/>
    </row>
    <row r="103" spans="2:18">
      <c r="B103" s="242"/>
      <c r="C103" s="242"/>
      <c r="D103" s="242"/>
      <c r="E103" s="242"/>
      <c r="F103" s="206"/>
      <c r="G103" s="242"/>
      <c r="H103" s="260"/>
      <c r="I103" s="261"/>
      <c r="J103" s="262"/>
      <c r="K103" s="242"/>
    </row>
    <row r="104" spans="2:18">
      <c r="B104" s="242"/>
      <c r="C104" s="242"/>
      <c r="D104" s="242"/>
      <c r="E104" s="242"/>
      <c r="F104" s="206"/>
      <c r="G104" s="242"/>
      <c r="H104" s="260"/>
      <c r="I104" s="261"/>
      <c r="J104" s="262"/>
      <c r="K104" s="242"/>
    </row>
    <row r="105" spans="2:18">
      <c r="B105" s="242"/>
      <c r="C105" s="242"/>
      <c r="D105" s="242"/>
      <c r="E105" s="242"/>
      <c r="F105" s="206"/>
      <c r="G105" s="242"/>
      <c r="H105" s="260"/>
      <c r="I105" s="261"/>
      <c r="J105" s="262"/>
      <c r="K105" s="242"/>
    </row>
    <row r="106" spans="2:18">
      <c r="B106" s="242"/>
      <c r="C106" s="242"/>
      <c r="D106" s="242"/>
      <c r="E106" s="242"/>
      <c r="F106" s="206"/>
      <c r="G106" s="242"/>
      <c r="H106" s="260"/>
      <c r="I106" s="261"/>
      <c r="J106" s="262"/>
      <c r="K106" s="242"/>
    </row>
    <row r="107" spans="2:18">
      <c r="B107" s="242"/>
      <c r="C107" s="242"/>
      <c r="D107" s="242"/>
      <c r="E107" s="242"/>
      <c r="F107" s="206"/>
      <c r="G107" s="242"/>
      <c r="H107" s="260"/>
      <c r="I107" s="261"/>
      <c r="J107" s="262"/>
      <c r="K107" s="242"/>
    </row>
    <row r="108" spans="2:18">
      <c r="B108" s="242"/>
      <c r="C108" s="242"/>
      <c r="D108" s="242"/>
      <c r="E108" s="242"/>
      <c r="F108" s="206"/>
      <c r="G108" s="242"/>
      <c r="H108" s="260"/>
      <c r="I108" s="261"/>
      <c r="J108" s="262"/>
      <c r="K108" s="242"/>
    </row>
    <row r="109" spans="2:18">
      <c r="B109" s="242"/>
      <c r="C109" s="242"/>
      <c r="D109" s="242"/>
      <c r="E109" s="242"/>
      <c r="F109" s="206"/>
      <c r="G109" s="242"/>
      <c r="H109" s="260"/>
      <c r="I109" s="261"/>
      <c r="J109" s="262"/>
      <c r="K109" s="242"/>
    </row>
    <row r="110" spans="2:18">
      <c r="B110" s="242"/>
      <c r="C110" s="242"/>
      <c r="D110" s="242"/>
      <c r="E110" s="242"/>
      <c r="F110" s="206"/>
      <c r="G110" s="242"/>
      <c r="H110" s="260"/>
      <c r="I110" s="261"/>
      <c r="J110" s="262"/>
      <c r="K110" s="242"/>
    </row>
    <row r="111" spans="2:18">
      <c r="B111" s="242"/>
      <c r="C111" s="242"/>
      <c r="D111" s="242"/>
      <c r="E111" s="242"/>
      <c r="F111" s="206"/>
      <c r="G111" s="242"/>
      <c r="H111" s="260"/>
      <c r="I111" s="261"/>
      <c r="J111" s="262"/>
      <c r="K111" s="242"/>
    </row>
    <row r="112" spans="2:18">
      <c r="B112" s="242"/>
      <c r="C112" s="242"/>
      <c r="D112" s="242"/>
      <c r="E112" s="242"/>
      <c r="F112" s="206"/>
      <c r="G112" s="242"/>
      <c r="H112" s="260"/>
      <c r="I112" s="261"/>
      <c r="J112" s="262"/>
      <c r="K112" s="242"/>
    </row>
    <row r="113" spans="2:11">
      <c r="B113" s="242"/>
      <c r="C113" s="242"/>
      <c r="D113" s="242"/>
      <c r="E113" s="242"/>
      <c r="F113" s="206"/>
      <c r="G113" s="242"/>
      <c r="H113" s="260"/>
      <c r="I113" s="261"/>
      <c r="J113" s="262"/>
      <c r="K113" s="242"/>
    </row>
    <row r="114" spans="2:11">
      <c r="B114" s="242"/>
      <c r="C114" s="242"/>
      <c r="D114" s="242"/>
      <c r="E114" s="242"/>
      <c r="F114" s="206"/>
      <c r="G114" s="242"/>
      <c r="H114" s="260"/>
      <c r="I114" s="261"/>
      <c r="J114" s="262"/>
      <c r="K114" s="242"/>
    </row>
    <row r="115" spans="2:11">
      <c r="B115" s="242"/>
      <c r="C115" s="242"/>
      <c r="D115" s="242"/>
      <c r="E115" s="242"/>
      <c r="F115" s="206"/>
      <c r="G115" s="242"/>
      <c r="H115" s="260"/>
      <c r="I115" s="261"/>
      <c r="J115" s="262"/>
      <c r="K115" s="242"/>
    </row>
    <row r="116" spans="2:11">
      <c r="B116" s="242"/>
      <c r="C116" s="242"/>
      <c r="D116" s="242"/>
      <c r="E116" s="242"/>
      <c r="F116" s="206"/>
      <c r="G116" s="242"/>
      <c r="H116" s="260"/>
      <c r="I116" s="261"/>
      <c r="J116" s="262"/>
      <c r="K116" s="242"/>
    </row>
    <row r="117" spans="2:11">
      <c r="B117" s="242"/>
      <c r="C117" s="242"/>
      <c r="D117" s="242"/>
      <c r="E117" s="242"/>
      <c r="F117" s="206"/>
      <c r="G117" s="242"/>
      <c r="H117" s="260"/>
      <c r="I117" s="261"/>
      <c r="J117" s="262"/>
      <c r="K117" s="242"/>
    </row>
    <row r="118" spans="2:11">
      <c r="B118" s="242"/>
      <c r="C118" s="242"/>
      <c r="D118" s="242"/>
      <c r="E118" s="242"/>
      <c r="F118" s="206"/>
      <c r="G118" s="242"/>
      <c r="H118" s="260"/>
      <c r="I118" s="261"/>
      <c r="J118" s="262"/>
      <c r="K118" s="242"/>
    </row>
    <row r="119" spans="2:11">
      <c r="B119" s="242"/>
      <c r="C119" s="242"/>
      <c r="D119" s="242"/>
      <c r="E119" s="242"/>
      <c r="F119" s="206"/>
      <c r="G119" s="242"/>
      <c r="H119" s="260"/>
      <c r="I119" s="261"/>
      <c r="J119" s="262"/>
      <c r="K119" s="242"/>
    </row>
    <row r="120" spans="2:11">
      <c r="B120" s="242"/>
      <c r="C120" s="242"/>
      <c r="D120" s="242"/>
      <c r="E120" s="242"/>
      <c r="F120" s="206"/>
      <c r="G120" s="242"/>
      <c r="H120" s="260"/>
      <c r="I120" s="261"/>
      <c r="J120" s="262"/>
      <c r="K120" s="242"/>
    </row>
    <row r="121" spans="2:11">
      <c r="B121" s="242"/>
      <c r="C121" s="242"/>
      <c r="D121" s="242"/>
      <c r="E121" s="242"/>
      <c r="F121" s="206"/>
      <c r="G121" s="242"/>
      <c r="H121" s="260"/>
      <c r="I121" s="261"/>
      <c r="J121" s="262"/>
      <c r="K121" s="242"/>
    </row>
    <row r="122" spans="2:11">
      <c r="B122" s="242"/>
      <c r="C122" s="242"/>
      <c r="D122" s="242"/>
      <c r="E122" s="242"/>
      <c r="F122" s="206"/>
      <c r="G122" s="242"/>
      <c r="H122" s="260"/>
      <c r="I122" s="261"/>
      <c r="J122" s="262"/>
      <c r="K122" s="242"/>
    </row>
    <row r="123" spans="2:11">
      <c r="D123" s="242"/>
      <c r="E123" s="242"/>
      <c r="F123" s="206"/>
      <c r="G123" s="242"/>
      <c r="H123" s="260"/>
      <c r="I123" s="261"/>
      <c r="J123" s="262"/>
      <c r="K123" s="242"/>
    </row>
    <row r="124" spans="2:11">
      <c r="D124" s="242"/>
      <c r="E124" s="242"/>
      <c r="F124" s="206"/>
      <c r="G124" s="242"/>
      <c r="H124" s="260"/>
      <c r="I124" s="261"/>
      <c r="J124" s="262"/>
      <c r="K124" s="242"/>
    </row>
    <row r="125" spans="2:11">
      <c r="D125" s="242"/>
      <c r="E125" s="242"/>
      <c r="F125" s="206"/>
      <c r="G125" s="242"/>
      <c r="H125" s="260"/>
      <c r="I125" s="261"/>
      <c r="J125" s="262"/>
      <c r="K125" s="242"/>
    </row>
    <row r="126" spans="2:11">
      <c r="D126" s="242"/>
      <c r="E126" s="242"/>
      <c r="F126" s="206"/>
      <c r="G126" s="242"/>
      <c r="H126" s="260"/>
      <c r="I126" s="261"/>
      <c r="J126" s="262"/>
      <c r="K126" s="242"/>
    </row>
    <row r="127" spans="2:11">
      <c r="D127" s="242"/>
      <c r="E127" s="242"/>
      <c r="F127" s="206"/>
      <c r="G127" s="242"/>
      <c r="H127" s="260"/>
      <c r="I127" s="261"/>
      <c r="J127" s="262"/>
      <c r="K127" s="242"/>
    </row>
    <row r="128" spans="2:11">
      <c r="D128" s="242"/>
      <c r="E128" s="242"/>
      <c r="F128" s="206"/>
      <c r="G128" s="242"/>
      <c r="H128" s="260"/>
      <c r="I128" s="261"/>
      <c r="J128" s="262"/>
      <c r="K128" s="242"/>
    </row>
    <row r="129" spans="4:11">
      <c r="D129" s="242"/>
      <c r="E129" s="242"/>
      <c r="F129" s="206"/>
      <c r="G129" s="242"/>
      <c r="H129" s="260"/>
      <c r="I129" s="261"/>
      <c r="J129" s="262"/>
      <c r="K129" s="242"/>
    </row>
    <row r="130" spans="4:11">
      <c r="D130" s="242"/>
      <c r="E130" s="242"/>
      <c r="F130" s="206"/>
      <c r="G130" s="242"/>
      <c r="H130" s="260"/>
      <c r="I130" s="261"/>
      <c r="J130" s="262"/>
      <c r="K130" s="242"/>
    </row>
    <row r="131" spans="4:11">
      <c r="D131" s="242"/>
      <c r="E131" s="242"/>
      <c r="F131" s="206"/>
      <c r="G131" s="242"/>
      <c r="H131" s="260"/>
      <c r="I131" s="261"/>
      <c r="J131" s="262"/>
      <c r="K131" s="242"/>
    </row>
    <row r="132" spans="4:11">
      <c r="D132" s="242"/>
      <c r="E132" s="242"/>
      <c r="F132" s="206"/>
      <c r="G132" s="242"/>
      <c r="H132" s="260"/>
      <c r="I132" s="261"/>
      <c r="J132" s="262"/>
      <c r="K132" s="242"/>
    </row>
    <row r="133" spans="4:11">
      <c r="D133" s="242"/>
      <c r="E133" s="242"/>
      <c r="F133" s="206"/>
      <c r="G133" s="242"/>
      <c r="H133" s="260"/>
      <c r="I133" s="261"/>
      <c r="J133" s="262"/>
      <c r="K133" s="242"/>
    </row>
    <row r="134" spans="4:11">
      <c r="D134" s="242"/>
      <c r="E134" s="242"/>
      <c r="F134" s="206"/>
      <c r="G134" s="242"/>
      <c r="H134" s="260"/>
      <c r="I134" s="261"/>
      <c r="J134" s="262"/>
      <c r="K134" s="242"/>
    </row>
    <row r="135" spans="4:11">
      <c r="D135" s="242"/>
      <c r="E135" s="242"/>
      <c r="F135" s="206"/>
      <c r="G135" s="242"/>
      <c r="H135" s="260"/>
      <c r="I135" s="261"/>
      <c r="J135" s="262"/>
      <c r="K135" s="242"/>
    </row>
    <row r="136" spans="4:11">
      <c r="D136" s="242"/>
      <c r="E136" s="242"/>
      <c r="F136" s="206"/>
      <c r="G136" s="242"/>
      <c r="H136" s="260"/>
      <c r="I136" s="261"/>
      <c r="J136" s="262"/>
      <c r="K136" s="242"/>
    </row>
    <row r="137" spans="4:11">
      <c r="D137" s="242"/>
      <c r="E137" s="242"/>
      <c r="F137" s="206"/>
      <c r="G137" s="242"/>
      <c r="H137" s="260"/>
      <c r="I137" s="261"/>
      <c r="J137" s="262"/>
      <c r="K137" s="242"/>
    </row>
    <row r="138" spans="4:11">
      <c r="D138" s="242"/>
      <c r="E138" s="242"/>
      <c r="F138" s="206"/>
      <c r="G138" s="242"/>
      <c r="H138" s="260"/>
      <c r="I138" s="261"/>
      <c r="J138" s="262"/>
      <c r="K138" s="242"/>
    </row>
    <row r="139" spans="4:11">
      <c r="D139" s="242"/>
      <c r="E139" s="242"/>
      <c r="F139" s="206"/>
      <c r="G139" s="242"/>
      <c r="H139" s="260"/>
      <c r="I139" s="261"/>
      <c r="J139" s="262"/>
      <c r="K139" s="242"/>
    </row>
    <row r="140" spans="4:11">
      <c r="D140" s="242"/>
      <c r="E140" s="242"/>
      <c r="F140" s="206"/>
      <c r="G140" s="242"/>
      <c r="H140" s="260"/>
      <c r="I140" s="261"/>
      <c r="J140" s="262"/>
    </row>
    <row r="141" spans="4:11">
      <c r="D141" s="242"/>
      <c r="E141" s="242"/>
      <c r="F141" s="206"/>
      <c r="G141" s="242"/>
      <c r="H141" s="260"/>
      <c r="I141" s="261"/>
      <c r="J141" s="262"/>
    </row>
    <row r="142" spans="4:11">
      <c r="D142" s="242"/>
      <c r="E142" s="242"/>
      <c r="F142" s="206"/>
      <c r="G142" s="242"/>
      <c r="H142" s="260"/>
      <c r="I142" s="261"/>
      <c r="J142" s="262"/>
    </row>
    <row r="143" spans="4:11">
      <c r="D143" s="242"/>
      <c r="E143" s="242"/>
      <c r="F143" s="206"/>
      <c r="G143" s="242"/>
      <c r="H143" s="260"/>
      <c r="I143" s="261"/>
      <c r="J143" s="262"/>
    </row>
    <row r="144" spans="4:11">
      <c r="D144" s="242"/>
      <c r="E144" s="242"/>
      <c r="F144" s="206"/>
      <c r="G144" s="242"/>
      <c r="H144" s="260"/>
      <c r="I144" s="261"/>
      <c r="J144" s="262"/>
    </row>
    <row r="145" spans="4:10">
      <c r="D145" s="242"/>
      <c r="E145" s="242"/>
      <c r="F145" s="206"/>
      <c r="G145" s="242"/>
      <c r="H145" s="260"/>
      <c r="I145" s="261"/>
      <c r="J145" s="262"/>
    </row>
    <row r="146" spans="4:10">
      <c r="D146" s="242"/>
      <c r="E146" s="242"/>
      <c r="F146" s="206"/>
      <c r="G146" s="242"/>
      <c r="H146" s="260"/>
      <c r="I146" s="261"/>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62"/>
    </row>
    <row r="184" spans="4:10">
      <c r="D184" s="242"/>
      <c r="E184" s="242"/>
      <c r="F184" s="206"/>
      <c r="G184" s="242"/>
      <c r="H184" s="260"/>
      <c r="I184" s="266"/>
      <c r="J184" s="262"/>
    </row>
    <row r="185" spans="4:10">
      <c r="D185" s="242"/>
      <c r="E185" s="242"/>
      <c r="F185" s="206"/>
      <c r="G185" s="242"/>
      <c r="H185" s="260"/>
      <c r="I185" s="266"/>
      <c r="J185" s="262"/>
    </row>
    <row r="186" spans="4:10">
      <c r="D186" s="242"/>
      <c r="E186" s="242"/>
      <c r="F186" s="206"/>
      <c r="G186" s="242"/>
      <c r="H186" s="260"/>
      <c r="I186" s="266"/>
      <c r="J186" s="262"/>
    </row>
    <row r="187" spans="4:10">
      <c r="D187" s="242"/>
      <c r="E187" s="242"/>
      <c r="F187" s="206"/>
      <c r="G187" s="242"/>
      <c r="H187" s="260"/>
      <c r="I187" s="266"/>
      <c r="J187" s="262"/>
    </row>
    <row r="188" spans="4:10">
      <c r="D188" s="242"/>
      <c r="E188" s="242"/>
      <c r="F188" s="206"/>
      <c r="G188" s="242"/>
      <c r="H188" s="260"/>
      <c r="I188" s="266"/>
      <c r="J188" s="262"/>
    </row>
    <row r="189" spans="4:10">
      <c r="D189" s="242"/>
      <c r="E189" s="242"/>
      <c r="F189" s="206"/>
      <c r="G189" s="242"/>
      <c r="H189" s="260"/>
      <c r="I189" s="266"/>
      <c r="J189" s="262"/>
    </row>
    <row r="190" spans="4:10">
      <c r="D190" s="242"/>
      <c r="E190" s="242"/>
      <c r="F190" s="206"/>
      <c r="G190" s="242"/>
      <c r="H190" s="260"/>
      <c r="I190" s="266"/>
      <c r="J190" s="262"/>
    </row>
    <row r="191" spans="4:10">
      <c r="D191" s="242"/>
      <c r="E191" s="242"/>
      <c r="F191" s="206"/>
      <c r="G191" s="242"/>
      <c r="H191" s="260"/>
      <c r="I191" s="266"/>
      <c r="J191" s="262"/>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60"/>
      <c r="I253" s="266"/>
      <c r="J253" s="206"/>
    </row>
    <row r="254" spans="4:10">
      <c r="D254" s="242"/>
      <c r="E254" s="242"/>
      <c r="F254" s="206"/>
      <c r="G254" s="242"/>
      <c r="H254" s="260"/>
      <c r="I254" s="266"/>
      <c r="J254" s="206"/>
    </row>
    <row r="255" spans="4:10">
      <c r="D255" s="242"/>
      <c r="E255" s="242"/>
      <c r="F255" s="206"/>
      <c r="G255" s="242"/>
      <c r="H255" s="260"/>
      <c r="I255" s="266"/>
      <c r="J255" s="206"/>
    </row>
    <row r="256" spans="4:10">
      <c r="D256" s="242"/>
      <c r="E256" s="242"/>
      <c r="F256" s="206"/>
      <c r="G256" s="242"/>
      <c r="H256" s="260"/>
      <c r="I256" s="266"/>
      <c r="J256" s="206"/>
    </row>
    <row r="257" spans="4:10">
      <c r="D257" s="242"/>
      <c r="E257" s="242"/>
      <c r="F257" s="206"/>
      <c r="G257" s="242"/>
      <c r="H257" s="260"/>
      <c r="I257" s="266"/>
      <c r="J257" s="206"/>
    </row>
    <row r="258" spans="4:10">
      <c r="D258" s="242"/>
      <c r="E258" s="242"/>
      <c r="F258" s="206"/>
      <c r="G258" s="242"/>
      <c r="H258" s="260"/>
      <c r="I258" s="266"/>
      <c r="J258" s="206"/>
    </row>
    <row r="259" spans="4:10">
      <c r="D259" s="242"/>
      <c r="E259" s="242"/>
      <c r="F259" s="206"/>
      <c r="G259" s="242"/>
      <c r="H259" s="260"/>
      <c r="I259" s="266"/>
      <c r="J259" s="206"/>
    </row>
    <row r="260" spans="4:10">
      <c r="D260" s="242"/>
      <c r="E260" s="242"/>
      <c r="F260" s="206"/>
      <c r="G260" s="242"/>
      <c r="H260" s="260"/>
      <c r="I260" s="266"/>
      <c r="J260" s="206"/>
    </row>
    <row r="261" spans="4:10">
      <c r="D261" s="242"/>
      <c r="E261" s="242"/>
      <c r="F261" s="206"/>
      <c r="G261" s="242"/>
      <c r="H261" s="260"/>
      <c r="I261" s="266"/>
      <c r="J261" s="206"/>
    </row>
    <row r="262" spans="4:10">
      <c r="D262" s="242"/>
      <c r="E262" s="242"/>
      <c r="F262" s="206"/>
      <c r="G262" s="242"/>
      <c r="H262" s="206"/>
      <c r="I262" s="266"/>
      <c r="J262" s="206"/>
    </row>
    <row r="263" spans="4:10">
      <c r="D263" s="242"/>
      <c r="E263" s="242"/>
      <c r="F263" s="206"/>
      <c r="G263" s="242"/>
      <c r="H263" s="206"/>
      <c r="I263" s="266"/>
      <c r="J263" s="206"/>
    </row>
    <row r="264" spans="4:10">
      <c r="D264" s="242"/>
      <c r="E264" s="242"/>
      <c r="F264" s="206"/>
      <c r="G264" s="242"/>
      <c r="H264" s="206"/>
      <c r="I264" s="266"/>
      <c r="J264" s="206"/>
    </row>
    <row r="265" spans="4:10">
      <c r="D265" s="242"/>
      <c r="E265" s="242"/>
      <c r="F265" s="206"/>
      <c r="G265" s="242"/>
      <c r="H265" s="206"/>
      <c r="I265" s="266"/>
      <c r="J265" s="206"/>
    </row>
    <row r="266" spans="4:10">
      <c r="D266" s="242"/>
      <c r="E266" s="242"/>
      <c r="F266" s="206"/>
      <c r="G266" s="242"/>
      <c r="H266" s="206"/>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D272" s="242"/>
      <c r="E272" s="242"/>
      <c r="F272" s="206"/>
      <c r="G272" s="242"/>
      <c r="H272" s="206"/>
      <c r="I272" s="266"/>
      <c r="J272" s="206"/>
    </row>
    <row r="273" spans="4:10">
      <c r="D273" s="242"/>
      <c r="E273" s="242"/>
      <c r="F273" s="206"/>
      <c r="G273" s="242"/>
      <c r="H273" s="206"/>
      <c r="I273" s="266"/>
      <c r="J273" s="206"/>
    </row>
    <row r="274" spans="4:10">
      <c r="D274" s="242"/>
      <c r="E274" s="242"/>
      <c r="F274" s="206"/>
      <c r="G274" s="242"/>
      <c r="H274" s="206"/>
      <c r="I274" s="266"/>
      <c r="J274" s="206"/>
    </row>
    <row r="275" spans="4:10">
      <c r="D275" s="242"/>
      <c r="E275" s="242"/>
      <c r="F275" s="206"/>
      <c r="G275" s="242"/>
      <c r="H275" s="206"/>
      <c r="I275" s="266"/>
      <c r="J275" s="206"/>
    </row>
    <row r="276" spans="4:10">
      <c r="D276" s="242"/>
      <c r="E276" s="242"/>
      <c r="F276" s="206"/>
      <c r="G276" s="242"/>
      <c r="H276" s="206"/>
      <c r="I276" s="266"/>
      <c r="J276" s="206"/>
    </row>
    <row r="277" spans="4:10">
      <c r="D277" s="242"/>
      <c r="E277" s="242"/>
      <c r="F277" s="206"/>
      <c r="G277" s="242"/>
      <c r="H277" s="206"/>
      <c r="I277" s="266"/>
      <c r="J277" s="206"/>
    </row>
    <row r="278" spans="4:10">
      <c r="D278" s="242"/>
      <c r="E278" s="242"/>
      <c r="F278" s="206"/>
      <c r="G278" s="242"/>
      <c r="H278" s="206"/>
      <c r="I278" s="266"/>
      <c r="J278" s="206"/>
    </row>
    <row r="279" spans="4:10">
      <c r="D279" s="242"/>
      <c r="E279" s="242"/>
      <c r="F279" s="206"/>
      <c r="G279" s="242"/>
      <c r="H279" s="206"/>
      <c r="I279" s="266"/>
      <c r="J279" s="206"/>
    </row>
    <row r="280" spans="4:10">
      <c r="D280" s="242"/>
      <c r="E280" s="242"/>
      <c r="F280" s="206"/>
      <c r="G280" s="242"/>
      <c r="H280" s="206"/>
      <c r="I280" s="266"/>
      <c r="J280" s="206"/>
    </row>
    <row r="281" spans="4:10">
      <c r="D281" s="242"/>
      <c r="E281" s="242"/>
      <c r="F281" s="206"/>
      <c r="G281" s="242"/>
      <c r="H281" s="206"/>
      <c r="I281" s="266"/>
      <c r="J281" s="206"/>
    </row>
    <row r="282" spans="4:10">
      <c r="D282" s="242"/>
      <c r="E282" s="242"/>
      <c r="F282" s="206"/>
      <c r="G282" s="242"/>
      <c r="H282" s="206"/>
      <c r="I282" s="266"/>
      <c r="J282" s="206"/>
    </row>
    <row r="283" spans="4:10">
      <c r="D283" s="242"/>
      <c r="E283" s="242"/>
      <c r="F283" s="206"/>
      <c r="G283" s="242"/>
      <c r="H283" s="206"/>
      <c r="I283" s="266"/>
      <c r="J283" s="206"/>
    </row>
    <row r="284" spans="4:10">
      <c r="D284" s="242"/>
      <c r="E284" s="242"/>
      <c r="F284" s="206"/>
      <c r="G284" s="242"/>
      <c r="H284" s="206"/>
      <c r="I284" s="266"/>
      <c r="J284" s="206"/>
    </row>
    <row r="285" spans="4:10">
      <c r="D285" s="242"/>
      <c r="E285" s="242"/>
      <c r="F285" s="206"/>
      <c r="G285" s="242"/>
      <c r="H285" s="206"/>
      <c r="I285" s="266"/>
      <c r="J285" s="206"/>
    </row>
    <row r="286" spans="4:10">
      <c r="I286" s="267"/>
    </row>
    <row r="287" spans="4:10">
      <c r="I287" s="267"/>
    </row>
    <row r="288" spans="4:10">
      <c r="I288" s="267"/>
    </row>
    <row r="289" spans="1:28">
      <c r="I289" s="267"/>
    </row>
    <row r="290" spans="1:28">
      <c r="I290" s="267"/>
    </row>
    <row r="291" spans="1:28">
      <c r="I291" s="267"/>
    </row>
    <row r="292" spans="1:28">
      <c r="I292" s="267"/>
    </row>
    <row r="293" spans="1:28">
      <c r="I293" s="267"/>
    </row>
    <row r="300" spans="1:28" s="104" customFormat="1">
      <c r="A300"/>
      <c r="B300"/>
      <c r="C300"/>
      <c r="D300"/>
      <c r="E300"/>
      <c r="F300" s="105"/>
      <c r="G300"/>
      <c r="I300" s="108"/>
      <c r="K300"/>
      <c r="L300"/>
      <c r="M300"/>
      <c r="N300"/>
      <c r="O300"/>
      <c r="P300"/>
      <c r="Q300"/>
      <c r="R300"/>
      <c r="S300"/>
      <c r="T300"/>
      <c r="U300"/>
      <c r="V300"/>
      <c r="W300"/>
      <c r="X300"/>
      <c r="Y300"/>
      <c r="Z300"/>
      <c r="AA300"/>
      <c r="AB300"/>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rowBreaks count="1" manualBreakCount="1">
    <brk id="37" max="9"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B297"/>
  <sheetViews>
    <sheetView view="pageBreakPreview" topLeftCell="A49" zoomScale="130" zoomScaleSheetLayoutView="130" workbookViewId="0">
      <selection activeCell="H69" sqref="H69"/>
    </sheetView>
  </sheetViews>
  <sheetFormatPr defaultColWidth="8.7109375" defaultRowHeight="12.75"/>
  <cols>
    <col min="1" max="1" width="3.42578125" customWidth="1"/>
    <col min="2" max="2" width="47.42578125" customWidth="1"/>
    <col min="3" max="3" width="1.7109375" customWidth="1"/>
    <col min="4" max="4" width="9.7109375" customWidth="1"/>
    <col min="5" max="5" width="0.7109375" customWidth="1"/>
    <col min="6" max="6" width="9.7109375" style="105" customWidth="1"/>
    <col min="7" max="7" width="0.7109375" customWidth="1"/>
    <col min="8" max="8" width="13.7109375" style="104" customWidth="1"/>
    <col min="9" max="9" width="0.7109375" style="108" customWidth="1"/>
    <col min="10" max="10" width="13.7109375" style="104" customWidth="1"/>
    <col min="11" max="11" width="12.28515625" customWidth="1"/>
    <col min="12" max="12" width="10.140625" bestFit="1" customWidth="1"/>
    <col min="14" max="14" width="0" hidden="1" customWidth="1"/>
  </cols>
  <sheetData>
    <row r="1" spans="1:28" ht="25.5">
      <c r="A1" s="132" t="s">
        <v>51</v>
      </c>
      <c r="B1" s="132" t="s">
        <v>52</v>
      </c>
      <c r="C1" s="132"/>
      <c r="D1" s="133" t="s">
        <v>53</v>
      </c>
      <c r="E1" s="133"/>
      <c r="F1" s="134" t="s">
        <v>54</v>
      </c>
      <c r="G1" s="134"/>
      <c r="H1" s="135" t="s">
        <v>55</v>
      </c>
      <c r="I1" s="135"/>
      <c r="J1" s="133" t="s">
        <v>56</v>
      </c>
      <c r="K1" s="136"/>
    </row>
    <row r="2" spans="1:28" ht="14.25">
      <c r="A2" s="137"/>
      <c r="B2" s="138"/>
      <c r="C2" s="138"/>
      <c r="D2" s="139"/>
      <c r="E2" s="139"/>
      <c r="F2" s="140"/>
      <c r="G2" s="141"/>
      <c r="H2" s="142"/>
      <c r="I2" s="143"/>
      <c r="J2" s="139"/>
      <c r="K2" s="136"/>
      <c r="L2" s="136"/>
    </row>
    <row r="3" spans="1:28" ht="15.75">
      <c r="A3" s="144"/>
      <c r="B3" s="144" t="s">
        <v>40</v>
      </c>
      <c r="C3" s="144"/>
      <c r="D3" s="145"/>
      <c r="E3" s="145"/>
      <c r="F3" s="146"/>
      <c r="G3" s="147"/>
      <c r="H3" s="148"/>
      <c r="I3" s="149"/>
      <c r="J3" s="150"/>
    </row>
    <row r="4" spans="1:28" ht="15.75">
      <c r="A4" s="144"/>
      <c r="B4" s="144"/>
      <c r="C4" s="144"/>
      <c r="D4" s="145"/>
      <c r="E4" s="145"/>
      <c r="F4" s="146"/>
      <c r="G4" s="147"/>
      <c r="H4" s="148"/>
      <c r="I4" s="149"/>
      <c r="J4" s="150"/>
    </row>
    <row r="5" spans="1:28" ht="15.75">
      <c r="A5" s="151"/>
      <c r="B5" s="151"/>
      <c r="C5" s="151"/>
      <c r="D5" s="152"/>
      <c r="E5" s="152"/>
      <c r="F5" s="153"/>
      <c r="G5" s="154"/>
      <c r="H5" s="155"/>
      <c r="I5" s="156"/>
      <c r="J5" s="155"/>
      <c r="K5" s="157"/>
      <c r="L5" s="157"/>
    </row>
    <row r="6" spans="1:28" ht="14.25">
      <c r="A6" s="158"/>
      <c r="B6" s="159"/>
      <c r="C6" s="159"/>
      <c r="D6" s="160"/>
      <c r="E6" s="160"/>
      <c r="F6" s="161"/>
      <c r="G6" s="162"/>
      <c r="H6" s="150"/>
      <c r="I6" s="163"/>
      <c r="J6" s="150"/>
      <c r="K6" s="136"/>
      <c r="L6" s="136"/>
    </row>
    <row r="7" spans="1:28" ht="15">
      <c r="A7" s="164" t="s">
        <v>58</v>
      </c>
      <c r="B7" s="164" t="s">
        <v>57</v>
      </c>
      <c r="C7" s="164"/>
      <c r="D7" s="165"/>
      <c r="E7" s="165"/>
      <c r="F7" s="166"/>
      <c r="G7" s="167"/>
      <c r="H7" s="168"/>
      <c r="I7" s="169"/>
      <c r="J7" s="150"/>
    </row>
    <row r="8" spans="1:28" ht="14.25">
      <c r="A8" s="137"/>
      <c r="B8" s="138"/>
      <c r="C8" s="138"/>
      <c r="D8" s="160"/>
      <c r="E8" s="160"/>
      <c r="F8" s="170"/>
      <c r="G8" s="171"/>
      <c r="H8" s="150"/>
      <c r="I8" s="163"/>
      <c r="J8" s="150"/>
    </row>
    <row r="9" spans="1:28" ht="25.5">
      <c r="A9" s="172" t="s">
        <v>58</v>
      </c>
      <c r="B9" s="173" t="s">
        <v>59</v>
      </c>
      <c r="C9" s="173"/>
      <c r="D9" s="174" t="s">
        <v>60</v>
      </c>
      <c r="E9" s="160">
        <f>165+255+55+20</f>
        <v>495</v>
      </c>
      <c r="F9" s="175">
        <f>Q19+Q20</f>
        <v>32.76</v>
      </c>
      <c r="G9" s="167">
        <v>2</v>
      </c>
      <c r="H9" s="176"/>
      <c r="I9" s="163"/>
      <c r="J9" s="176">
        <f>F9*H9</f>
        <v>0</v>
      </c>
      <c r="K9" s="136"/>
      <c r="L9" s="177"/>
      <c r="M9" s="178"/>
    </row>
    <row r="10" spans="1:28" ht="14.25">
      <c r="A10" s="172"/>
      <c r="B10" s="158"/>
      <c r="C10" s="158"/>
      <c r="D10" s="160"/>
      <c r="E10" s="160"/>
      <c r="F10" s="160"/>
      <c r="G10" s="179"/>
      <c r="H10" s="150"/>
      <c r="I10" s="163"/>
      <c r="J10" s="150"/>
      <c r="K10" s="136"/>
      <c r="L10" s="136" t="s">
        <v>221</v>
      </c>
      <c r="M10" t="s">
        <v>222</v>
      </c>
      <c r="N10" t="s">
        <v>223</v>
      </c>
      <c r="O10" t="s">
        <v>224</v>
      </c>
      <c r="P10" t="s">
        <v>225</v>
      </c>
      <c r="Q10" t="s">
        <v>226</v>
      </c>
      <c r="R10" t="s">
        <v>227</v>
      </c>
      <c r="S10" t="s">
        <v>228</v>
      </c>
      <c r="T10" t="s">
        <v>229</v>
      </c>
      <c r="U10" t="s">
        <v>230</v>
      </c>
      <c r="V10" t="s">
        <v>231</v>
      </c>
      <c r="W10" t="s">
        <v>232</v>
      </c>
      <c r="X10" t="s">
        <v>233</v>
      </c>
      <c r="Y10" t="s">
        <v>234</v>
      </c>
      <c r="Z10" t="s">
        <v>235</v>
      </c>
      <c r="AA10" t="s">
        <v>236</v>
      </c>
      <c r="AB10" t="s">
        <v>237</v>
      </c>
    </row>
    <row r="11" spans="1:28" ht="38.25">
      <c r="A11" s="172" t="s">
        <v>61</v>
      </c>
      <c r="B11" s="173" t="s">
        <v>62</v>
      </c>
      <c r="C11" s="173"/>
      <c r="D11" s="174" t="s">
        <v>190</v>
      </c>
      <c r="E11" s="160"/>
      <c r="F11" s="175">
        <f>R13+R14</f>
        <v>2</v>
      </c>
      <c r="G11" s="167"/>
      <c r="H11" s="176"/>
      <c r="I11" s="163"/>
      <c r="J11" s="176">
        <f>F11*H11</f>
        <v>0</v>
      </c>
      <c r="K11" s="136"/>
      <c r="L11" s="136" t="s">
        <v>467</v>
      </c>
      <c r="N11">
        <v>0</v>
      </c>
      <c r="O11">
        <v>4.1100000000000003</v>
      </c>
      <c r="P11">
        <v>0</v>
      </c>
      <c r="Q11">
        <v>83.58</v>
      </c>
      <c r="R11">
        <v>83.03</v>
      </c>
      <c r="S11">
        <v>0.55000000000000004</v>
      </c>
      <c r="T11">
        <v>0</v>
      </c>
      <c r="U11">
        <v>0</v>
      </c>
      <c r="V11">
        <v>0</v>
      </c>
      <c r="W11">
        <v>81.03</v>
      </c>
      <c r="X11">
        <v>44.37</v>
      </c>
      <c r="Y11">
        <v>15.49</v>
      </c>
      <c r="Z11">
        <v>17.55</v>
      </c>
      <c r="AA11">
        <v>3.62</v>
      </c>
      <c r="AB11">
        <v>44.37</v>
      </c>
    </row>
    <row r="12" spans="1:28" ht="14.25">
      <c r="A12" s="172"/>
      <c r="B12" s="173"/>
      <c r="C12" s="173"/>
      <c r="D12" s="160"/>
      <c r="E12" s="160"/>
      <c r="F12" s="166"/>
      <c r="G12" s="167"/>
      <c r="H12" s="168"/>
      <c r="I12" s="180"/>
      <c r="J12" s="168"/>
      <c r="K12" s="136"/>
      <c r="L12" s="136"/>
    </row>
    <row r="13" spans="1:28" ht="38.25">
      <c r="A13" s="172" t="s">
        <v>63</v>
      </c>
      <c r="B13" s="173" t="s">
        <v>70</v>
      </c>
      <c r="C13" s="173"/>
      <c r="D13" s="174" t="s">
        <v>71</v>
      </c>
      <c r="E13" s="165"/>
      <c r="F13" s="175">
        <v>1</v>
      </c>
      <c r="G13" s="167"/>
      <c r="H13" s="176"/>
      <c r="I13" s="182"/>
      <c r="J13" s="176">
        <f>F13*H13</f>
        <v>0</v>
      </c>
      <c r="K13" s="136"/>
      <c r="L13" s="136" t="s">
        <v>179</v>
      </c>
      <c r="M13" t="s">
        <v>389</v>
      </c>
      <c r="N13">
        <v>1</v>
      </c>
      <c r="O13" t="s">
        <v>390</v>
      </c>
      <c r="P13" t="s">
        <v>391</v>
      </c>
      <c r="Q13">
        <v>1000</v>
      </c>
      <c r="R13">
        <v>2</v>
      </c>
    </row>
    <row r="14" spans="1:28" ht="14.25">
      <c r="A14" s="172"/>
      <c r="B14" s="173"/>
      <c r="C14" s="173"/>
      <c r="D14" s="165"/>
      <c r="E14" s="165"/>
      <c r="F14" s="166"/>
      <c r="G14" s="167"/>
      <c r="H14" s="168"/>
      <c r="I14" s="182"/>
      <c r="J14" s="168"/>
      <c r="K14" s="136"/>
      <c r="L14" s="136" t="s">
        <v>177</v>
      </c>
      <c r="M14" t="s">
        <v>389</v>
      </c>
      <c r="N14">
        <v>11</v>
      </c>
      <c r="O14" t="s">
        <v>392</v>
      </c>
      <c r="P14" t="s">
        <v>391</v>
      </c>
      <c r="Q14">
        <v>1000</v>
      </c>
      <c r="R14">
        <v>0</v>
      </c>
    </row>
    <row r="15" spans="1:28" ht="14.25">
      <c r="A15" s="172" t="s">
        <v>67</v>
      </c>
      <c r="B15" s="173" t="s">
        <v>74</v>
      </c>
      <c r="C15" s="173"/>
      <c r="D15" s="174" t="s">
        <v>190</v>
      </c>
      <c r="E15" s="165"/>
      <c r="F15" s="175">
        <v>1</v>
      </c>
      <c r="G15" s="167"/>
      <c r="H15" s="176"/>
      <c r="I15" s="182"/>
      <c r="J15" s="176">
        <f>F15*H15</f>
        <v>0</v>
      </c>
      <c r="K15" s="136"/>
      <c r="L15" s="136"/>
    </row>
    <row r="16" spans="1:28" ht="14.25">
      <c r="A16" s="172"/>
      <c r="B16" s="173"/>
      <c r="C16" s="173"/>
      <c r="D16" s="165"/>
      <c r="E16" s="165"/>
      <c r="F16" s="166"/>
      <c r="G16" s="167"/>
      <c r="H16" s="168"/>
      <c r="I16" s="182"/>
      <c r="J16" s="168"/>
      <c r="K16" s="136"/>
      <c r="L16" s="136"/>
    </row>
    <row r="17" spans="1:17" ht="15" thickBot="1">
      <c r="A17" s="183"/>
      <c r="B17" s="184" t="s">
        <v>75</v>
      </c>
      <c r="C17" s="184"/>
      <c r="D17" s="185"/>
      <c r="E17" s="185"/>
      <c r="F17" s="186"/>
      <c r="G17" s="185"/>
      <c r="H17" s="187"/>
      <c r="I17" s="188"/>
      <c r="J17" s="189">
        <f>SUM(J9:J15)</f>
        <v>0</v>
      </c>
      <c r="K17" s="136"/>
      <c r="L17" s="136"/>
    </row>
    <row r="18" spans="1:17" ht="15" thickTop="1">
      <c r="A18" s="190"/>
      <c r="B18" s="191"/>
      <c r="C18" s="191"/>
      <c r="D18" s="192"/>
      <c r="E18" s="192"/>
      <c r="F18" s="165"/>
      <c r="G18" s="192"/>
      <c r="H18" s="193"/>
      <c r="I18" s="182"/>
      <c r="J18" s="194"/>
      <c r="K18" s="136"/>
      <c r="L18" s="136" t="s">
        <v>221</v>
      </c>
      <c r="N18" t="s">
        <v>239</v>
      </c>
      <c r="P18" t="s">
        <v>238</v>
      </c>
      <c r="Q18" s="450" t="s">
        <v>394</v>
      </c>
    </row>
    <row r="19" spans="1:17" ht="14.25">
      <c r="A19" s="190"/>
      <c r="B19" s="191"/>
      <c r="C19" s="191"/>
      <c r="D19" s="192"/>
      <c r="E19" s="192"/>
      <c r="F19" s="165"/>
      <c r="G19" s="192"/>
      <c r="H19" s="193"/>
      <c r="I19" s="182"/>
      <c r="J19" s="194"/>
      <c r="K19" s="136"/>
      <c r="L19" s="136" t="s">
        <v>407</v>
      </c>
      <c r="N19">
        <v>311.7</v>
      </c>
      <c r="P19">
        <v>235.4</v>
      </c>
      <c r="Q19">
        <v>32.76</v>
      </c>
    </row>
    <row r="20" spans="1:17" ht="15">
      <c r="A20" s="195" t="s">
        <v>61</v>
      </c>
      <c r="B20" s="196" t="s">
        <v>76</v>
      </c>
      <c r="C20" s="196"/>
      <c r="D20" s="160"/>
      <c r="E20" s="160"/>
      <c r="F20" s="170"/>
      <c r="G20" s="171"/>
      <c r="H20" s="197"/>
      <c r="I20" s="180"/>
      <c r="J20" s="198"/>
      <c r="K20" s="136"/>
      <c r="L20" s="136" t="s">
        <v>414</v>
      </c>
      <c r="Q20">
        <v>0</v>
      </c>
    </row>
    <row r="21" spans="1:17" ht="15">
      <c r="A21" s="195"/>
      <c r="B21" s="453" t="s">
        <v>452</v>
      </c>
      <c r="C21" s="196"/>
      <c r="D21" s="160"/>
      <c r="E21" s="160"/>
      <c r="F21" s="170"/>
      <c r="G21" s="171"/>
      <c r="H21" s="197"/>
      <c r="I21" s="180"/>
      <c r="J21" s="198"/>
      <c r="K21" s="136"/>
      <c r="L21" s="136"/>
    </row>
    <row r="22" spans="1:17" ht="14.25">
      <c r="A22" s="172"/>
      <c r="B22" s="173"/>
      <c r="C22" s="173"/>
      <c r="D22" s="160"/>
      <c r="E22" s="160"/>
      <c r="F22" s="170"/>
      <c r="G22" s="171"/>
      <c r="H22" s="197"/>
      <c r="I22" s="180"/>
      <c r="J22" s="198"/>
      <c r="K22" s="136"/>
      <c r="L22" s="136"/>
    </row>
    <row r="23" spans="1:17" ht="15">
      <c r="A23" s="195"/>
      <c r="B23" s="196"/>
      <c r="C23" s="196"/>
      <c r="D23" s="165"/>
      <c r="E23" s="165"/>
      <c r="F23" s="166"/>
      <c r="G23" s="167"/>
      <c r="H23" s="193"/>
      <c r="I23" s="182"/>
      <c r="J23" s="194"/>
      <c r="K23" s="136"/>
      <c r="L23" s="136"/>
    </row>
    <row r="24" spans="1:17" ht="15">
      <c r="A24" s="195"/>
      <c r="B24" s="196"/>
      <c r="C24" s="196"/>
      <c r="D24" s="160"/>
      <c r="E24" s="160"/>
      <c r="F24" s="170"/>
      <c r="G24" s="171"/>
      <c r="H24" s="197"/>
      <c r="I24" s="180"/>
      <c r="J24" s="198"/>
      <c r="K24" s="136"/>
      <c r="L24" s="136" t="s">
        <v>221</v>
      </c>
      <c r="M24" t="s">
        <v>238</v>
      </c>
      <c r="N24" t="s">
        <v>239</v>
      </c>
    </row>
    <row r="25" spans="1:17" ht="51">
      <c r="A25" s="203" t="s">
        <v>61</v>
      </c>
      <c r="B25" s="204" t="s">
        <v>22</v>
      </c>
      <c r="C25" s="205"/>
      <c r="D25" s="206"/>
      <c r="E25" s="206"/>
      <c r="F25" s="207"/>
      <c r="G25" s="208"/>
      <c r="H25" s="209"/>
      <c r="I25" s="180"/>
      <c r="J25" s="194"/>
      <c r="K25" s="136"/>
      <c r="M25">
        <v>296.60000000000002</v>
      </c>
      <c r="N25">
        <v>139.85</v>
      </c>
    </row>
    <row r="26" spans="1:17" ht="15.75">
      <c r="A26" s="210"/>
      <c r="B26" s="205" t="s">
        <v>78</v>
      </c>
      <c r="C26" s="205"/>
      <c r="D26" s="211" t="s">
        <v>108</v>
      </c>
      <c r="E26" s="206"/>
      <c r="F26" s="212">
        <f>F9*1.4*0.95</f>
        <v>43.570799999999998</v>
      </c>
      <c r="G26" s="208"/>
      <c r="H26" s="213"/>
      <c r="I26" s="180"/>
      <c r="J26" s="202">
        <f>F26*H26</f>
        <v>0</v>
      </c>
      <c r="K26" s="136"/>
      <c r="M26">
        <v>376.6</v>
      </c>
      <c r="N26">
        <v>117.06</v>
      </c>
    </row>
    <row r="27" spans="1:17" ht="14.25">
      <c r="A27" s="203"/>
      <c r="B27" s="205" t="s">
        <v>79</v>
      </c>
      <c r="C27" s="205"/>
      <c r="D27" s="211" t="s">
        <v>108</v>
      </c>
      <c r="E27" s="206"/>
      <c r="F27" s="212">
        <f>F9*1.4*0.05</f>
        <v>2.2932000000000001</v>
      </c>
      <c r="G27" s="208"/>
      <c r="H27" s="213"/>
      <c r="I27" s="180"/>
      <c r="J27" s="202">
        <f>F27*H27</f>
        <v>0</v>
      </c>
      <c r="K27" s="136"/>
      <c r="L27" s="136"/>
    </row>
    <row r="28" spans="1:17" ht="14.25">
      <c r="A28" s="203"/>
      <c r="B28" s="173"/>
      <c r="C28" s="205"/>
      <c r="D28" s="214"/>
      <c r="E28" s="206"/>
      <c r="F28" s="207"/>
      <c r="G28" s="208"/>
      <c r="H28" s="215"/>
      <c r="I28" s="180"/>
      <c r="J28" s="194"/>
      <c r="K28" s="199"/>
      <c r="L28" s="199"/>
      <c r="N28" s="200"/>
      <c r="O28" s="200"/>
    </row>
    <row r="29" spans="1:17" ht="25.5">
      <c r="A29" s="203" t="s">
        <v>63</v>
      </c>
      <c r="B29" s="205" t="s">
        <v>21</v>
      </c>
      <c r="C29" s="205"/>
      <c r="D29" s="206"/>
      <c r="E29" s="206"/>
      <c r="F29" s="216"/>
      <c r="G29" s="217"/>
      <c r="H29" s="209"/>
      <c r="I29" s="180"/>
      <c r="J29" s="218"/>
      <c r="K29" s="199"/>
      <c r="L29" s="199"/>
      <c r="N29" s="200"/>
      <c r="O29" s="200"/>
    </row>
    <row r="30" spans="1:17" ht="14.25">
      <c r="A30" s="203"/>
      <c r="B30" s="205" t="s">
        <v>23</v>
      </c>
      <c r="C30" s="205"/>
      <c r="D30" s="211" t="s">
        <v>105</v>
      </c>
      <c r="E30" s="206"/>
      <c r="F30" s="220">
        <f>F9*0.8</f>
        <v>26.207999999999998</v>
      </c>
      <c r="G30" s="221"/>
      <c r="H30" s="213"/>
      <c r="I30" s="180"/>
      <c r="J30" s="202">
        <f>F30*H30</f>
        <v>0</v>
      </c>
      <c r="K30" s="199"/>
      <c r="L30" s="199"/>
      <c r="N30" s="200"/>
      <c r="O30" s="200"/>
    </row>
    <row r="31" spans="1:17" ht="14.25">
      <c r="A31" s="172"/>
      <c r="B31" s="173"/>
      <c r="C31" s="173"/>
      <c r="D31" s="165"/>
      <c r="E31" s="160"/>
      <c r="F31" s="222"/>
      <c r="G31" s="223"/>
      <c r="H31" s="215"/>
      <c r="I31" s="180"/>
      <c r="J31" s="194"/>
      <c r="K31" s="199"/>
      <c r="L31" s="199"/>
      <c r="N31" s="200"/>
      <c r="O31" s="200"/>
    </row>
    <row r="32" spans="1:17" ht="51">
      <c r="A32" s="172" t="s">
        <v>67</v>
      </c>
      <c r="B32" s="224" t="s">
        <v>80</v>
      </c>
      <c r="C32" s="225"/>
      <c r="D32" s="174" t="s">
        <v>108</v>
      </c>
      <c r="E32" s="160"/>
      <c r="F32" s="175">
        <f>AA11</f>
        <v>3.62</v>
      </c>
      <c r="G32" s="167"/>
      <c r="H32" s="213"/>
      <c r="I32" s="169"/>
      <c r="J32" s="202">
        <f>F32*H32</f>
        <v>0</v>
      </c>
      <c r="K32" s="200"/>
      <c r="L32" s="199"/>
      <c r="M32" s="200"/>
    </row>
    <row r="33" spans="1:15" ht="14.25">
      <c r="A33" s="172"/>
      <c r="B33" s="224"/>
      <c r="C33" s="225"/>
      <c r="D33" s="160"/>
      <c r="E33" s="160"/>
      <c r="F33" s="166"/>
      <c r="G33" s="167"/>
      <c r="H33" s="215"/>
      <c r="I33" s="169"/>
      <c r="J33" s="194"/>
      <c r="K33" s="200"/>
      <c r="L33" s="199"/>
      <c r="M33" s="200"/>
    </row>
    <row r="34" spans="1:15" ht="38.25">
      <c r="A34" s="172" t="s">
        <v>68</v>
      </c>
      <c r="B34" s="173" t="s">
        <v>24</v>
      </c>
      <c r="C34" s="225"/>
      <c r="D34" s="174" t="s">
        <v>108</v>
      </c>
      <c r="E34" s="160"/>
      <c r="F34" s="175">
        <f>Z11</f>
        <v>17.55</v>
      </c>
      <c r="G34" s="167"/>
      <c r="H34" s="213"/>
      <c r="I34" s="169"/>
      <c r="J34" s="202">
        <f>F34*H34</f>
        <v>0</v>
      </c>
      <c r="K34" s="200"/>
      <c r="L34" s="199"/>
      <c r="M34" s="200"/>
    </row>
    <row r="35" spans="1:15" ht="14.25">
      <c r="A35" s="172"/>
      <c r="B35" s="173"/>
      <c r="C35" s="225"/>
      <c r="D35" s="165"/>
      <c r="E35" s="160"/>
      <c r="F35" s="166"/>
      <c r="G35" s="167"/>
      <c r="H35" s="215"/>
      <c r="I35" s="169"/>
      <c r="J35" s="194"/>
      <c r="K35" s="200"/>
      <c r="L35" s="199"/>
      <c r="M35" s="200"/>
    </row>
    <row r="36" spans="1:15" ht="76.5">
      <c r="A36" s="172" t="s">
        <v>69</v>
      </c>
      <c r="B36" s="224" t="s">
        <v>25</v>
      </c>
      <c r="C36" s="226"/>
      <c r="D36" s="179"/>
      <c r="E36" s="179"/>
      <c r="F36" s="166"/>
      <c r="G36" s="167"/>
      <c r="H36" s="198"/>
      <c r="I36" s="163"/>
      <c r="J36" s="198"/>
      <c r="K36" s="171"/>
      <c r="L36" s="219"/>
      <c r="M36" s="200"/>
    </row>
    <row r="37" spans="1:15" ht="15">
      <c r="A37" s="172"/>
      <c r="B37" s="173" t="s">
        <v>78</v>
      </c>
      <c r="C37" s="173"/>
      <c r="D37" s="174" t="s">
        <v>108</v>
      </c>
      <c r="E37" s="160"/>
      <c r="F37" s="175">
        <f>(F26+F27-F32-F34)*0.95</f>
        <v>23.459299999999999</v>
      </c>
      <c r="G37" s="167"/>
      <c r="H37" s="213"/>
      <c r="I37" s="163"/>
      <c r="J37" s="202">
        <f>F37*H37</f>
        <v>0</v>
      </c>
      <c r="K37" s="171"/>
      <c r="L37" s="219"/>
      <c r="M37" s="200"/>
    </row>
    <row r="38" spans="1:15" ht="14.25">
      <c r="A38" s="172"/>
      <c r="B38" s="173" t="s">
        <v>79</v>
      </c>
      <c r="C38" s="173"/>
      <c r="D38" s="174" t="s">
        <v>108</v>
      </c>
      <c r="E38" s="160"/>
      <c r="F38" s="181">
        <f>(F26+F27-F32-F34)*0.05</f>
        <v>1.2347000000000001</v>
      </c>
      <c r="G38" s="167"/>
      <c r="H38" s="213"/>
      <c r="I38" s="163"/>
      <c r="J38" s="202">
        <f>F38*H38</f>
        <v>0</v>
      </c>
      <c r="K38" s="199"/>
      <c r="L38" s="199"/>
      <c r="M38" s="200"/>
      <c r="N38" s="200"/>
      <c r="O38" s="200"/>
    </row>
    <row r="39" spans="1:15" ht="14.25">
      <c r="A39" s="172"/>
      <c r="B39" s="173"/>
      <c r="C39" s="173"/>
      <c r="D39" s="165"/>
      <c r="E39" s="160"/>
      <c r="F39" s="166"/>
      <c r="G39" s="167"/>
      <c r="H39" s="215"/>
      <c r="I39" s="163"/>
      <c r="J39" s="194"/>
      <c r="K39" s="199"/>
      <c r="L39" s="199"/>
      <c r="M39" s="200"/>
      <c r="N39" s="200"/>
      <c r="O39" s="200"/>
    </row>
    <row r="40" spans="1:15" ht="14.25">
      <c r="A40" s="172"/>
      <c r="B40" s="224"/>
      <c r="C40" s="226"/>
      <c r="D40" s="160"/>
      <c r="E40" s="160"/>
      <c r="F40" s="166"/>
      <c r="G40" s="167"/>
      <c r="H40" s="215"/>
      <c r="I40" s="163"/>
      <c r="J40" s="194"/>
      <c r="K40" s="199"/>
      <c r="L40" s="199"/>
      <c r="M40" s="200"/>
      <c r="N40" s="200"/>
      <c r="O40" s="200"/>
    </row>
    <row r="41" spans="1:15" ht="25.5">
      <c r="A41" s="172" t="s">
        <v>72</v>
      </c>
      <c r="B41" s="228" t="s">
        <v>27</v>
      </c>
      <c r="C41" s="226"/>
      <c r="D41" s="174" t="s">
        <v>108</v>
      </c>
      <c r="E41" s="160"/>
      <c r="F41" s="175">
        <f>F26+F27-F37-F38</f>
        <v>21.169999999999998</v>
      </c>
      <c r="G41" s="167"/>
      <c r="H41" s="213"/>
      <c r="I41" s="163"/>
      <c r="J41" s="202">
        <f>F41*H41</f>
        <v>0</v>
      </c>
      <c r="K41" s="199"/>
      <c r="L41" s="199"/>
      <c r="M41" s="200"/>
      <c r="N41" s="200"/>
      <c r="O41" s="200"/>
    </row>
    <row r="42" spans="1:15">
      <c r="A42" s="172"/>
      <c r="B42" s="228"/>
      <c r="C42" s="226"/>
      <c r="D42" s="165"/>
      <c r="E42" s="160"/>
      <c r="F42" s="166"/>
      <c r="G42" s="167"/>
      <c r="H42" s="215"/>
      <c r="I42" s="163"/>
      <c r="J42" s="194"/>
      <c r="K42" s="217"/>
      <c r="L42" s="200"/>
      <c r="M42" s="200"/>
      <c r="N42" s="200"/>
      <c r="O42" s="200"/>
    </row>
    <row r="43" spans="1:15" ht="13.5" thickBot="1">
      <c r="A43" s="183"/>
      <c r="B43" s="232" t="s">
        <v>28</v>
      </c>
      <c r="C43" s="232"/>
      <c r="D43" s="233"/>
      <c r="E43" s="233"/>
      <c r="F43" s="234"/>
      <c r="G43" s="235"/>
      <c r="H43" s="189"/>
      <c r="I43" s="236"/>
      <c r="J43" s="189">
        <f>SUM(J23:J42)</f>
        <v>0</v>
      </c>
      <c r="K43" s="217"/>
      <c r="L43" s="200"/>
      <c r="M43" s="200"/>
      <c r="N43" s="200"/>
      <c r="O43" s="200"/>
    </row>
    <row r="44" spans="1:15" ht="13.5" thickTop="1">
      <c r="A44" s="190"/>
      <c r="B44" s="237"/>
      <c r="C44" s="237"/>
      <c r="D44" s="238"/>
      <c r="E44" s="238"/>
      <c r="F44" s="166"/>
      <c r="G44" s="167"/>
      <c r="H44" s="194"/>
      <c r="I44" s="169"/>
      <c r="J44" s="194"/>
      <c r="K44" s="217"/>
      <c r="L44" s="200"/>
      <c r="M44" s="200"/>
      <c r="N44" s="200"/>
      <c r="O44" s="200"/>
    </row>
    <row r="45" spans="1:15">
      <c r="A45" s="190"/>
      <c r="B45" s="237"/>
      <c r="C45" s="237"/>
      <c r="D45" s="238"/>
      <c r="E45" s="238"/>
      <c r="F45" s="166"/>
      <c r="G45" s="167"/>
      <c r="H45" s="194"/>
      <c r="I45" s="169"/>
      <c r="J45" s="194"/>
      <c r="K45" s="217"/>
      <c r="L45" s="200"/>
      <c r="M45" s="200"/>
      <c r="N45" s="200"/>
      <c r="O45" s="200"/>
    </row>
    <row r="46" spans="1:15" ht="15">
      <c r="A46" s="195" t="s">
        <v>63</v>
      </c>
      <c r="B46" s="239" t="s">
        <v>29</v>
      </c>
      <c r="C46" s="239"/>
      <c r="D46" s="160"/>
      <c r="E46" s="160"/>
      <c r="F46" s="170"/>
      <c r="G46" s="171"/>
      <c r="H46" s="198"/>
      <c r="I46" s="163"/>
      <c r="J46" s="198"/>
      <c r="K46" s="217"/>
      <c r="L46" s="200"/>
      <c r="M46" s="200"/>
      <c r="N46" s="200"/>
      <c r="O46" s="200"/>
    </row>
    <row r="47" spans="1:15" ht="15">
      <c r="A47" s="195"/>
      <c r="B47" s="239"/>
      <c r="C47" s="239"/>
      <c r="D47" s="160"/>
      <c r="E47" s="160"/>
      <c r="F47" s="170"/>
      <c r="G47" s="171"/>
      <c r="H47" s="198"/>
      <c r="I47" s="163"/>
      <c r="J47" s="198"/>
      <c r="K47" s="217"/>
      <c r="L47" s="200"/>
      <c r="M47" s="200"/>
    </row>
    <row r="48" spans="1:15" ht="38.25">
      <c r="A48" s="172" t="s">
        <v>58</v>
      </c>
      <c r="B48" s="226" t="s">
        <v>409</v>
      </c>
      <c r="C48" s="226"/>
      <c r="D48" s="174" t="s">
        <v>60</v>
      </c>
      <c r="E48" s="160"/>
      <c r="F48" s="240">
        <f>Q19</f>
        <v>32.76</v>
      </c>
      <c r="G48" s="223"/>
      <c r="H48" s="213"/>
      <c r="I48" s="163"/>
      <c r="J48" s="202">
        <f>F48*H48</f>
        <v>0</v>
      </c>
      <c r="K48" s="217"/>
      <c r="L48" s="200"/>
      <c r="M48" s="200"/>
      <c r="N48" s="200"/>
      <c r="O48" s="200"/>
    </row>
    <row r="49" spans="1:15">
      <c r="A49" s="172"/>
      <c r="B49" s="226"/>
      <c r="C49" s="226"/>
      <c r="D49" s="160"/>
      <c r="E49" s="160"/>
      <c r="F49" s="170"/>
      <c r="G49" s="171"/>
      <c r="H49" s="198"/>
      <c r="I49" s="163"/>
      <c r="J49" s="198"/>
      <c r="K49" s="217"/>
      <c r="L49" s="200"/>
      <c r="M49" s="200"/>
      <c r="N49" s="200"/>
      <c r="O49" s="200"/>
    </row>
    <row r="50" spans="1:15">
      <c r="A50" s="172"/>
      <c r="B50" s="226"/>
      <c r="C50" s="226"/>
      <c r="D50" s="165"/>
      <c r="E50" s="165"/>
      <c r="F50" s="222"/>
      <c r="G50" s="223"/>
      <c r="H50" s="215"/>
      <c r="I50" s="169"/>
      <c r="J50" s="194"/>
      <c r="K50" s="217"/>
      <c r="L50" s="200"/>
      <c r="M50" s="200"/>
      <c r="N50" s="200"/>
      <c r="O50" s="200"/>
    </row>
    <row r="51" spans="1:15">
      <c r="A51" s="172"/>
      <c r="B51" s="226"/>
      <c r="C51" s="226"/>
      <c r="D51" s="160"/>
      <c r="E51" s="160"/>
      <c r="F51" s="170"/>
      <c r="G51" s="171"/>
      <c r="H51" s="198"/>
      <c r="I51" s="163"/>
      <c r="J51" s="198"/>
      <c r="K51" s="217"/>
      <c r="L51" s="200"/>
      <c r="M51" s="200"/>
      <c r="N51" s="200"/>
      <c r="O51" s="200"/>
    </row>
    <row r="52" spans="1:15">
      <c r="A52" s="172"/>
      <c r="B52" s="226"/>
      <c r="C52" s="226"/>
      <c r="D52" s="160"/>
      <c r="E52" s="160"/>
      <c r="F52" s="170"/>
      <c r="G52" s="171"/>
      <c r="H52" s="198"/>
      <c r="I52" s="163"/>
      <c r="J52" s="198"/>
      <c r="K52" s="217"/>
      <c r="L52" s="200"/>
      <c r="M52" s="200"/>
      <c r="N52" s="200"/>
      <c r="O52" s="200"/>
    </row>
    <row r="53" spans="1:15" ht="51">
      <c r="A53" s="172" t="s">
        <v>61</v>
      </c>
      <c r="B53" s="241" t="s">
        <v>398</v>
      </c>
      <c r="C53" s="241"/>
      <c r="D53" s="165"/>
      <c r="E53" s="165"/>
      <c r="F53" s="166"/>
      <c r="G53" s="167"/>
      <c r="H53" s="198"/>
      <c r="I53" s="163"/>
      <c r="J53" s="198"/>
      <c r="K53" s="217"/>
      <c r="L53" s="200"/>
      <c r="M53" s="200"/>
      <c r="N53" s="200"/>
      <c r="O53" s="200"/>
    </row>
    <row r="54" spans="1:15">
      <c r="A54" s="172"/>
      <c r="B54" s="241"/>
      <c r="C54" s="241"/>
      <c r="D54" s="174" t="s">
        <v>190</v>
      </c>
      <c r="E54" s="165"/>
      <c r="F54" s="175">
        <f>R13</f>
        <v>2</v>
      </c>
      <c r="G54" s="167"/>
      <c r="H54" s="213"/>
      <c r="I54" s="163"/>
      <c r="J54" s="202">
        <f>F54*H54</f>
        <v>0</v>
      </c>
      <c r="K54" s="217"/>
      <c r="L54" s="200"/>
      <c r="M54" s="200"/>
      <c r="N54" s="200"/>
      <c r="O54" s="200"/>
    </row>
    <row r="55" spans="1:15">
      <c r="A55" s="172"/>
      <c r="B55" s="241"/>
      <c r="C55" s="241"/>
      <c r="D55" s="160"/>
      <c r="E55" s="160"/>
      <c r="F55" s="170"/>
      <c r="G55" s="171"/>
      <c r="H55" s="198"/>
      <c r="I55" s="163"/>
      <c r="J55" s="198"/>
      <c r="K55" s="217"/>
      <c r="L55" s="200"/>
      <c r="M55" s="200"/>
      <c r="N55" s="200"/>
      <c r="O55" s="200"/>
    </row>
    <row r="56" spans="1:15">
      <c r="A56" s="172"/>
      <c r="B56" s="241"/>
      <c r="C56" s="241"/>
      <c r="D56" s="165"/>
      <c r="E56" s="165"/>
      <c r="F56" s="166"/>
      <c r="G56" s="167"/>
      <c r="H56" s="198"/>
      <c r="I56" s="163"/>
      <c r="J56" s="198"/>
      <c r="K56" s="217"/>
      <c r="L56" s="200"/>
      <c r="M56" s="200"/>
      <c r="N56" s="200"/>
      <c r="O56" s="200"/>
    </row>
    <row r="57" spans="1:15">
      <c r="A57" s="172"/>
      <c r="B57" s="241"/>
      <c r="C57" s="241"/>
      <c r="D57" s="704"/>
      <c r="E57" s="704"/>
      <c r="F57" s="706"/>
      <c r="G57" s="705"/>
      <c r="H57" s="707"/>
      <c r="I57" s="708"/>
      <c r="J57" s="709"/>
      <c r="K57" s="217"/>
      <c r="L57" s="200"/>
      <c r="M57" s="200"/>
      <c r="N57" s="200"/>
      <c r="O57" s="200"/>
    </row>
    <row r="58" spans="1:15" ht="13.5" thickBot="1">
      <c r="A58" s="243"/>
      <c r="B58" s="244" t="s">
        <v>30</v>
      </c>
      <c r="C58" s="244"/>
      <c r="D58" s="186"/>
      <c r="E58" s="186"/>
      <c r="F58" s="234"/>
      <c r="G58" s="235"/>
      <c r="H58" s="189"/>
      <c r="I58" s="236"/>
      <c r="J58" s="189">
        <f>SUM(J48:J57)</f>
        <v>0</v>
      </c>
      <c r="K58" s="217"/>
      <c r="L58" s="200"/>
      <c r="M58" s="200"/>
      <c r="N58" s="200"/>
      <c r="O58" s="200"/>
    </row>
    <row r="59" spans="1:15" ht="13.5" thickTop="1">
      <c r="A59" s="245"/>
      <c r="B59" s="246"/>
      <c r="C59" s="246"/>
      <c r="D59" s="165"/>
      <c r="E59" s="165"/>
      <c r="F59" s="166"/>
      <c r="G59" s="167"/>
      <c r="H59" s="194"/>
      <c r="I59" s="169"/>
      <c r="J59" s="194"/>
      <c r="K59" s="242"/>
    </row>
    <row r="60" spans="1:15" ht="15.75">
      <c r="A60" s="247" t="s">
        <v>67</v>
      </c>
      <c r="B60" s="248" t="s">
        <v>31</v>
      </c>
      <c r="C60" s="248"/>
      <c r="D60" s="192"/>
      <c r="E60" s="192"/>
      <c r="F60" s="166"/>
      <c r="G60" s="167"/>
      <c r="H60" s="150"/>
      <c r="I60" s="163"/>
      <c r="J60" s="198"/>
      <c r="K60" s="242"/>
    </row>
    <row r="61" spans="1:15">
      <c r="A61" s="172"/>
      <c r="B61" s="249"/>
      <c r="C61" s="249"/>
      <c r="D61" s="250"/>
      <c r="E61" s="250"/>
      <c r="F61" s="170"/>
      <c r="G61" s="171"/>
      <c r="H61" s="150"/>
      <c r="I61" s="163"/>
      <c r="J61" s="198"/>
      <c r="K61" s="242"/>
    </row>
    <row r="62" spans="1:15" ht="25.5">
      <c r="A62" s="172" t="s">
        <v>58</v>
      </c>
      <c r="B62" s="173" t="s">
        <v>32</v>
      </c>
      <c r="C62" s="173"/>
      <c r="D62" s="251" t="s">
        <v>60</v>
      </c>
      <c r="E62" s="179"/>
      <c r="F62" s="175">
        <f>F9</f>
        <v>32.76</v>
      </c>
      <c r="G62" s="167"/>
      <c r="H62" s="213"/>
      <c r="I62" s="163"/>
      <c r="J62" s="202">
        <f>F62*H62</f>
        <v>0</v>
      </c>
      <c r="K62" s="242"/>
    </row>
    <row r="63" spans="1:15">
      <c r="A63" s="172"/>
      <c r="B63" s="173"/>
      <c r="C63" s="173"/>
      <c r="D63" s="179"/>
      <c r="E63" s="179"/>
      <c r="F63" s="170"/>
      <c r="G63" s="171"/>
      <c r="H63" s="150"/>
      <c r="I63" s="163"/>
      <c r="J63" s="198"/>
      <c r="K63" s="242"/>
    </row>
    <row r="64" spans="1:15">
      <c r="A64" s="172" t="s">
        <v>61</v>
      </c>
      <c r="B64" s="173" t="s">
        <v>33</v>
      </c>
      <c r="C64" s="173"/>
      <c r="D64" s="251" t="s">
        <v>60</v>
      </c>
      <c r="E64" s="179"/>
      <c r="F64" s="175">
        <f>F9</f>
        <v>32.76</v>
      </c>
      <c r="G64" s="167"/>
      <c r="H64" s="213"/>
      <c r="I64" s="163"/>
      <c r="J64" s="202">
        <f>F64*H64</f>
        <v>0</v>
      </c>
      <c r="K64" s="242"/>
    </row>
    <row r="65" spans="1:11">
      <c r="A65" s="172"/>
      <c r="B65" s="173"/>
      <c r="C65" s="173"/>
      <c r="D65" s="179"/>
      <c r="E65" s="179"/>
      <c r="F65" s="170"/>
      <c r="G65" s="171"/>
      <c r="H65" s="150"/>
      <c r="I65" s="163"/>
      <c r="J65" s="198"/>
      <c r="K65" s="242"/>
    </row>
    <row r="66" spans="1:11">
      <c r="A66" s="172" t="s">
        <v>63</v>
      </c>
      <c r="B66" s="173" t="s">
        <v>34</v>
      </c>
      <c r="C66" s="173"/>
      <c r="D66" s="251" t="s">
        <v>190</v>
      </c>
      <c r="E66" s="179"/>
      <c r="F66" s="175">
        <f>F54+F57</f>
        <v>2</v>
      </c>
      <c r="G66" s="167"/>
      <c r="H66" s="213"/>
      <c r="I66" s="163"/>
      <c r="J66" s="202">
        <f>F66*H66</f>
        <v>0</v>
      </c>
      <c r="K66" s="242"/>
    </row>
    <row r="67" spans="1:11">
      <c r="A67" s="172"/>
      <c r="B67" s="173"/>
      <c r="C67" s="173"/>
      <c r="D67" s="179"/>
      <c r="E67" s="179"/>
      <c r="F67" s="170"/>
      <c r="G67" s="171"/>
      <c r="H67" s="150"/>
      <c r="I67" s="163"/>
      <c r="J67" s="198"/>
      <c r="K67" s="242"/>
    </row>
    <row r="68" spans="1:11" ht="25.5">
      <c r="A68" s="172" t="s">
        <v>67</v>
      </c>
      <c r="B68" s="173" t="s">
        <v>35</v>
      </c>
      <c r="C68" s="173"/>
      <c r="D68" s="251" t="s">
        <v>60</v>
      </c>
      <c r="E68" s="179"/>
      <c r="F68" s="175">
        <f>F9</f>
        <v>32.76</v>
      </c>
      <c r="G68" s="167"/>
      <c r="H68" s="213"/>
      <c r="I68" s="163"/>
      <c r="J68" s="202">
        <f>F68*H68</f>
        <v>0</v>
      </c>
      <c r="K68" s="242"/>
    </row>
    <row r="69" spans="1:11">
      <c r="A69" s="172"/>
      <c r="B69" s="173"/>
      <c r="C69" s="173"/>
      <c r="D69" s="179"/>
      <c r="E69" s="179"/>
      <c r="F69" s="170"/>
      <c r="G69" s="171"/>
      <c r="H69" s="150"/>
      <c r="I69" s="163"/>
      <c r="J69" s="198"/>
      <c r="K69" s="242"/>
    </row>
    <row r="70" spans="1:11" ht="13.5" thickBot="1">
      <c r="A70" s="183"/>
      <c r="B70" s="252" t="s">
        <v>36</v>
      </c>
      <c r="C70" s="252"/>
      <c r="D70" s="253"/>
      <c r="E70" s="253"/>
      <c r="F70" s="234"/>
      <c r="G70" s="235"/>
      <c r="H70" s="254"/>
      <c r="I70" s="236"/>
      <c r="J70" s="189">
        <f>SUM(J62:J68)</f>
        <v>0</v>
      </c>
      <c r="K70" s="242"/>
    </row>
    <row r="71" spans="1:11" ht="13.5" thickTop="1">
      <c r="A71" s="190"/>
      <c r="B71" s="255"/>
      <c r="C71" s="255"/>
      <c r="D71" s="256"/>
      <c r="E71" s="256"/>
      <c r="F71" s="166"/>
      <c r="G71" s="167"/>
      <c r="H71" s="168"/>
      <c r="I71" s="169"/>
      <c r="J71" s="194"/>
      <c r="K71" s="242"/>
    </row>
    <row r="72" spans="1:11">
      <c r="A72" s="190"/>
      <c r="B72" s="255"/>
      <c r="C72" s="255"/>
      <c r="D72" s="256"/>
      <c r="E72" s="256"/>
      <c r="F72" s="166"/>
      <c r="G72" s="167"/>
      <c r="H72" s="168"/>
      <c r="I72" s="169"/>
      <c r="J72" s="194"/>
      <c r="K72" s="242"/>
    </row>
    <row r="73" spans="1:11">
      <c r="A73" s="190"/>
      <c r="B73" s="255"/>
      <c r="C73" s="255"/>
      <c r="D73" s="256"/>
      <c r="E73" s="256"/>
      <c r="F73" s="166"/>
      <c r="G73" s="167"/>
      <c r="H73" s="150"/>
      <c r="I73" s="163"/>
      <c r="J73" s="198"/>
      <c r="K73" s="242"/>
    </row>
    <row r="74" spans="1:11">
      <c r="A74" s="190"/>
      <c r="B74" s="255"/>
      <c r="C74" s="255"/>
      <c r="D74" s="256"/>
      <c r="E74" s="256"/>
      <c r="F74" s="166"/>
      <c r="G74" s="167"/>
      <c r="H74" s="150"/>
      <c r="I74" s="163"/>
      <c r="J74" s="198"/>
      <c r="K74" s="242"/>
    </row>
    <row r="75" spans="1:11">
      <c r="A75" s="190"/>
      <c r="B75" s="255"/>
      <c r="C75" s="255"/>
      <c r="D75" s="256"/>
      <c r="E75" s="256"/>
      <c r="F75" s="166"/>
      <c r="G75" s="167"/>
      <c r="H75" s="150"/>
      <c r="I75" s="163"/>
      <c r="J75" s="198"/>
      <c r="K75" s="242"/>
    </row>
    <row r="76" spans="1:11">
      <c r="A76" s="190"/>
      <c r="B76" s="255"/>
      <c r="C76" s="255"/>
      <c r="D76" s="256"/>
      <c r="E76" s="256"/>
      <c r="F76" s="166"/>
      <c r="G76" s="167"/>
      <c r="H76" s="150"/>
      <c r="I76" s="163"/>
      <c r="J76" s="198"/>
      <c r="K76" s="242"/>
    </row>
    <row r="77" spans="1:11">
      <c r="A77" s="190"/>
      <c r="B77" s="255"/>
      <c r="C77" s="255"/>
      <c r="D77" s="256"/>
      <c r="E77" s="256"/>
      <c r="F77" s="166"/>
      <c r="G77" s="167"/>
      <c r="H77" s="150"/>
      <c r="I77" s="163"/>
      <c r="J77" s="198"/>
      <c r="K77" s="242"/>
    </row>
    <row r="78" spans="1:11">
      <c r="A78" s="190"/>
      <c r="B78" s="255"/>
      <c r="C78" s="255"/>
      <c r="D78" s="256"/>
      <c r="E78" s="256"/>
      <c r="F78" s="166"/>
      <c r="G78" s="167"/>
      <c r="H78" s="150"/>
      <c r="I78" s="163"/>
      <c r="J78" s="198"/>
      <c r="K78" s="242"/>
    </row>
    <row r="79" spans="1:11">
      <c r="A79" s="190"/>
      <c r="B79" s="255"/>
      <c r="C79" s="255"/>
      <c r="D79" s="256"/>
      <c r="E79" s="256"/>
      <c r="F79" s="166"/>
      <c r="G79" s="167"/>
      <c r="H79" s="150"/>
      <c r="I79" s="163"/>
      <c r="J79" s="198"/>
      <c r="K79" s="242"/>
    </row>
    <row r="80" spans="1:11">
      <c r="A80" s="172"/>
      <c r="B80" s="258"/>
      <c r="C80" s="258"/>
      <c r="D80" s="257"/>
      <c r="E80" s="257"/>
      <c r="F80" s="170"/>
      <c r="G80" s="171"/>
      <c r="H80" s="150"/>
      <c r="I80" s="163"/>
      <c r="J80" s="198"/>
      <c r="K80" s="242"/>
    </row>
    <row r="81" spans="2:18">
      <c r="B81" s="242"/>
      <c r="C81" s="242"/>
      <c r="D81" s="242"/>
      <c r="E81" s="242"/>
      <c r="F81" s="206"/>
      <c r="G81" s="242"/>
      <c r="H81" s="260"/>
      <c r="I81" s="261"/>
      <c r="J81" s="262"/>
      <c r="K81" s="242"/>
    </row>
    <row r="82" spans="2:18">
      <c r="B82" s="242"/>
      <c r="C82" s="242"/>
      <c r="D82" s="242"/>
      <c r="E82" s="242"/>
      <c r="F82" s="206"/>
      <c r="G82" s="242"/>
      <c r="H82" s="260"/>
      <c r="I82" s="261"/>
      <c r="J82" s="262"/>
      <c r="K82" s="242"/>
    </row>
    <row r="83" spans="2:18">
      <c r="B83" s="242"/>
      <c r="C83" s="242"/>
      <c r="D83" s="242"/>
      <c r="E83" s="242"/>
      <c r="F83" s="206"/>
      <c r="G83" s="242"/>
      <c r="H83" s="260"/>
      <c r="I83" s="261"/>
      <c r="J83" s="262"/>
      <c r="K83" s="242"/>
    </row>
    <row r="84" spans="2:18">
      <c r="B84" s="242"/>
      <c r="C84" s="242"/>
      <c r="D84" s="242"/>
      <c r="E84" s="242"/>
      <c r="F84" s="206"/>
      <c r="G84" s="242"/>
      <c r="H84" s="260"/>
      <c r="I84" s="261"/>
      <c r="J84" s="262"/>
      <c r="K84" s="242"/>
    </row>
    <row r="85" spans="2:18">
      <c r="B85" s="242"/>
      <c r="C85" s="242"/>
      <c r="D85" s="242"/>
      <c r="E85" s="242"/>
      <c r="F85" s="206"/>
      <c r="G85" s="242"/>
      <c r="H85" s="260"/>
      <c r="I85" s="261"/>
      <c r="J85" s="262"/>
      <c r="K85" s="242"/>
      <c r="Q85" s="259"/>
      <c r="R85" s="259"/>
    </row>
    <row r="86" spans="2:18">
      <c r="B86" s="242"/>
      <c r="C86" s="242"/>
      <c r="D86" s="242"/>
      <c r="E86" s="242"/>
      <c r="F86" s="206"/>
      <c r="G86" s="242"/>
      <c r="H86" s="260"/>
      <c r="I86" s="261"/>
      <c r="J86" s="262"/>
      <c r="K86" s="242"/>
      <c r="Q86" s="259"/>
      <c r="R86" s="259"/>
    </row>
    <row r="87" spans="2:18">
      <c r="B87" s="242"/>
      <c r="C87" s="242"/>
      <c r="D87" s="242"/>
      <c r="E87" s="242"/>
      <c r="F87" s="206"/>
      <c r="G87" s="242"/>
      <c r="H87" s="260"/>
      <c r="I87" s="261"/>
      <c r="J87" s="262"/>
      <c r="K87" s="242"/>
      <c r="Q87" s="259"/>
      <c r="R87" s="259"/>
    </row>
    <row r="88" spans="2:18">
      <c r="B88" s="242"/>
      <c r="C88" s="242"/>
      <c r="D88" s="242"/>
      <c r="E88" s="242"/>
      <c r="F88" s="206"/>
      <c r="G88" s="242"/>
      <c r="H88" s="260"/>
      <c r="I88" s="261"/>
      <c r="J88" s="262"/>
      <c r="K88" s="242"/>
      <c r="Q88" s="259"/>
      <c r="R88" s="259"/>
    </row>
    <row r="89" spans="2:18">
      <c r="B89" s="242"/>
      <c r="C89" s="242"/>
      <c r="D89" s="242"/>
      <c r="E89" s="242"/>
      <c r="F89" s="206"/>
      <c r="G89" s="242"/>
      <c r="H89" s="260"/>
      <c r="I89" s="261"/>
      <c r="J89" s="262"/>
      <c r="K89" s="242"/>
      <c r="Q89" s="259"/>
      <c r="R89" s="259"/>
    </row>
    <row r="90" spans="2:18">
      <c r="B90" s="242"/>
      <c r="C90" s="242"/>
      <c r="D90" s="242"/>
      <c r="E90" s="242"/>
      <c r="F90" s="206"/>
      <c r="G90" s="242"/>
      <c r="H90" s="260"/>
      <c r="I90" s="261"/>
      <c r="J90" s="262"/>
      <c r="K90" s="242"/>
      <c r="Q90" s="259"/>
      <c r="R90" s="259"/>
    </row>
    <row r="91" spans="2:18">
      <c r="B91" s="242"/>
      <c r="C91" s="242"/>
      <c r="D91" s="242"/>
      <c r="E91" s="242"/>
      <c r="F91" s="206"/>
      <c r="G91" s="242"/>
      <c r="H91" s="260"/>
      <c r="I91" s="261"/>
      <c r="J91" s="262"/>
      <c r="K91" s="242"/>
      <c r="Q91" s="259"/>
      <c r="R91" s="259"/>
    </row>
    <row r="92" spans="2:18">
      <c r="B92" s="242"/>
      <c r="C92" s="242"/>
      <c r="D92" s="242"/>
      <c r="E92" s="242"/>
      <c r="F92" s="206"/>
      <c r="G92" s="242"/>
      <c r="H92" s="260"/>
      <c r="I92" s="261"/>
      <c r="J92" s="262"/>
      <c r="K92" s="242"/>
      <c r="Q92" s="259"/>
      <c r="R92" s="259"/>
    </row>
    <row r="93" spans="2:18">
      <c r="B93" s="242"/>
      <c r="C93" s="242"/>
      <c r="D93" s="242"/>
      <c r="E93" s="242"/>
      <c r="F93" s="206"/>
      <c r="G93" s="242"/>
      <c r="H93" s="260"/>
      <c r="I93" s="261"/>
      <c r="J93" s="262"/>
      <c r="K93" s="242"/>
      <c r="Q93" s="259"/>
      <c r="R93" s="259"/>
    </row>
    <row r="94" spans="2:18">
      <c r="B94" s="242"/>
      <c r="C94" s="242"/>
      <c r="D94" s="242"/>
      <c r="E94" s="242"/>
      <c r="F94" s="206"/>
      <c r="G94" s="242"/>
      <c r="H94" s="260"/>
      <c r="I94" s="261"/>
      <c r="J94" s="262"/>
      <c r="K94" s="242"/>
      <c r="Q94" s="259"/>
      <c r="R94" s="259"/>
    </row>
    <row r="95" spans="2:18">
      <c r="B95" s="242"/>
      <c r="C95" s="242"/>
      <c r="D95" s="242"/>
      <c r="E95" s="242"/>
      <c r="F95" s="206"/>
      <c r="G95" s="242"/>
      <c r="H95" s="260"/>
      <c r="I95" s="261"/>
      <c r="J95" s="262"/>
      <c r="K95" s="263"/>
      <c r="L95" s="263"/>
      <c r="M95" s="264"/>
      <c r="Q95" s="259"/>
      <c r="R95" s="259"/>
    </row>
    <row r="96" spans="2:18">
      <c r="B96" s="242"/>
      <c r="C96" s="242"/>
      <c r="D96" s="242"/>
      <c r="E96" s="242"/>
      <c r="F96" s="206"/>
      <c r="G96" s="242"/>
      <c r="H96" s="260"/>
      <c r="I96" s="261"/>
      <c r="J96" s="262"/>
      <c r="K96" s="265"/>
      <c r="L96" s="265"/>
      <c r="M96" s="264"/>
    </row>
    <row r="97" spans="2:13">
      <c r="B97" s="242"/>
      <c r="C97" s="242"/>
      <c r="D97" s="242"/>
      <c r="E97" s="242"/>
      <c r="F97" s="206"/>
      <c r="G97" s="242"/>
      <c r="H97" s="260"/>
      <c r="I97" s="261"/>
      <c r="J97" s="262"/>
      <c r="K97" s="261"/>
      <c r="L97" s="261"/>
      <c r="M97" s="264"/>
    </row>
    <row r="98" spans="2:13">
      <c r="B98" s="242"/>
      <c r="C98" s="242"/>
      <c r="D98" s="242"/>
      <c r="E98" s="242"/>
      <c r="F98" s="206"/>
      <c r="G98" s="242"/>
      <c r="H98" s="260"/>
      <c r="I98" s="261"/>
      <c r="J98" s="262"/>
      <c r="K98" s="242"/>
    </row>
    <row r="99" spans="2:13">
      <c r="B99" s="242"/>
      <c r="C99" s="242"/>
      <c r="D99" s="242"/>
      <c r="E99" s="242"/>
      <c r="F99" s="206"/>
      <c r="G99" s="242"/>
      <c r="H99" s="260"/>
      <c r="I99" s="261"/>
      <c r="J99" s="262"/>
      <c r="K99" s="242"/>
    </row>
    <row r="100" spans="2:13">
      <c r="B100" s="242"/>
      <c r="C100" s="242"/>
      <c r="D100" s="242"/>
      <c r="E100" s="242"/>
      <c r="F100" s="206"/>
      <c r="G100" s="242"/>
      <c r="H100" s="260"/>
      <c r="I100" s="261"/>
      <c r="J100" s="262"/>
      <c r="K100" s="242"/>
    </row>
    <row r="101" spans="2:13">
      <c r="B101" s="242"/>
      <c r="C101" s="242"/>
      <c r="D101" s="242"/>
      <c r="E101" s="242"/>
      <c r="F101" s="206"/>
      <c r="G101" s="242"/>
      <c r="H101" s="260"/>
      <c r="I101" s="261"/>
      <c r="J101" s="262"/>
      <c r="K101" s="242"/>
    </row>
    <row r="102" spans="2:13">
      <c r="B102" s="242"/>
      <c r="C102" s="242"/>
      <c r="D102" s="242"/>
      <c r="E102" s="242"/>
      <c r="F102" s="206"/>
      <c r="G102" s="242"/>
      <c r="H102" s="260"/>
      <c r="I102" s="261"/>
      <c r="J102" s="262"/>
      <c r="K102" s="242"/>
    </row>
    <row r="103" spans="2:13">
      <c r="B103" s="242"/>
      <c r="C103" s="242"/>
      <c r="D103" s="242"/>
      <c r="E103" s="242"/>
      <c r="F103" s="206"/>
      <c r="G103" s="242"/>
      <c r="H103" s="260"/>
      <c r="I103" s="261"/>
      <c r="J103" s="262"/>
      <c r="K103" s="242"/>
    </row>
    <row r="104" spans="2:13">
      <c r="B104" s="242"/>
      <c r="C104" s="242"/>
      <c r="D104" s="242"/>
      <c r="E104" s="242"/>
      <c r="F104" s="206"/>
      <c r="G104" s="242"/>
      <c r="H104" s="260"/>
      <c r="I104" s="261"/>
      <c r="J104" s="262"/>
      <c r="K104" s="242"/>
    </row>
    <row r="105" spans="2:13">
      <c r="B105" s="242"/>
      <c r="C105" s="242"/>
      <c r="D105" s="242"/>
      <c r="E105" s="242"/>
      <c r="F105" s="206"/>
      <c r="G105" s="242"/>
      <c r="H105" s="260"/>
      <c r="I105" s="261"/>
      <c r="J105" s="262"/>
      <c r="K105" s="242"/>
    </row>
    <row r="106" spans="2:13">
      <c r="B106" s="242"/>
      <c r="C106" s="242"/>
      <c r="D106" s="242"/>
      <c r="E106" s="242"/>
      <c r="F106" s="206"/>
      <c r="G106" s="242"/>
      <c r="H106" s="260"/>
      <c r="I106" s="261"/>
      <c r="J106" s="262"/>
      <c r="K106" s="242"/>
    </row>
    <row r="107" spans="2:13">
      <c r="B107" s="242"/>
      <c r="C107" s="242"/>
      <c r="D107" s="242"/>
      <c r="E107" s="242"/>
      <c r="F107" s="206"/>
      <c r="G107" s="242"/>
      <c r="H107" s="260"/>
      <c r="I107" s="261"/>
      <c r="J107" s="262"/>
      <c r="K107" s="242"/>
    </row>
    <row r="108" spans="2:13">
      <c r="B108" s="242"/>
      <c r="C108" s="242"/>
      <c r="D108" s="242"/>
      <c r="E108" s="242"/>
      <c r="F108" s="206"/>
      <c r="G108" s="242"/>
      <c r="H108" s="260"/>
      <c r="I108" s="261"/>
      <c r="J108" s="262"/>
      <c r="K108" s="242"/>
    </row>
    <row r="109" spans="2:13">
      <c r="B109" s="242"/>
      <c r="C109" s="242"/>
      <c r="D109" s="242"/>
      <c r="E109" s="242"/>
      <c r="F109" s="206"/>
      <c r="G109" s="242"/>
      <c r="H109" s="260"/>
      <c r="I109" s="261"/>
      <c r="J109" s="262"/>
      <c r="K109" s="242"/>
    </row>
    <row r="110" spans="2:13">
      <c r="B110" s="242"/>
      <c r="C110" s="242"/>
      <c r="D110" s="242"/>
      <c r="E110" s="242"/>
      <c r="F110" s="206"/>
      <c r="G110" s="242"/>
      <c r="H110" s="260"/>
      <c r="I110" s="261"/>
      <c r="J110" s="262"/>
      <c r="K110" s="242"/>
    </row>
    <row r="111" spans="2:13">
      <c r="B111" s="242"/>
      <c r="C111" s="242"/>
      <c r="D111" s="242"/>
      <c r="E111" s="242"/>
      <c r="F111" s="206"/>
      <c r="G111" s="242"/>
      <c r="H111" s="260"/>
      <c r="I111" s="261"/>
      <c r="J111" s="262"/>
      <c r="K111" s="242"/>
    </row>
    <row r="112" spans="2:13">
      <c r="B112" s="242"/>
      <c r="C112" s="242"/>
      <c r="D112" s="242"/>
      <c r="E112" s="242"/>
      <c r="F112" s="206"/>
      <c r="G112" s="242"/>
      <c r="H112" s="260"/>
      <c r="I112" s="261"/>
      <c r="J112" s="262"/>
      <c r="K112" s="242"/>
    </row>
    <row r="113" spans="2:11">
      <c r="B113" s="242"/>
      <c r="C113" s="242"/>
      <c r="D113" s="242"/>
      <c r="E113" s="242"/>
      <c r="F113" s="206"/>
      <c r="G113" s="242"/>
      <c r="H113" s="260"/>
      <c r="I113" s="261"/>
      <c r="J113" s="262"/>
      <c r="K113" s="242"/>
    </row>
    <row r="114" spans="2:11">
      <c r="B114" s="242"/>
      <c r="C114" s="242"/>
      <c r="D114" s="242"/>
      <c r="E114" s="242"/>
      <c r="F114" s="206"/>
      <c r="G114" s="242"/>
      <c r="H114" s="260"/>
      <c r="I114" s="261"/>
      <c r="J114" s="262"/>
      <c r="K114" s="242"/>
    </row>
    <row r="115" spans="2:11">
      <c r="B115" s="242"/>
      <c r="C115" s="242"/>
      <c r="D115" s="242"/>
      <c r="E115" s="242"/>
      <c r="F115" s="206"/>
      <c r="G115" s="242"/>
      <c r="H115" s="260"/>
      <c r="I115" s="261"/>
      <c r="J115" s="262"/>
      <c r="K115" s="242"/>
    </row>
    <row r="116" spans="2:11">
      <c r="B116" s="242"/>
      <c r="C116" s="242"/>
      <c r="D116" s="242"/>
      <c r="E116" s="242"/>
      <c r="F116" s="206"/>
      <c r="G116" s="242"/>
      <c r="H116" s="260"/>
      <c r="I116" s="261"/>
      <c r="J116" s="262"/>
      <c r="K116" s="242"/>
    </row>
    <row r="117" spans="2:11">
      <c r="B117" s="242"/>
      <c r="C117" s="242"/>
      <c r="D117" s="242"/>
      <c r="E117" s="242"/>
      <c r="F117" s="206"/>
      <c r="G117" s="242"/>
      <c r="H117" s="260"/>
      <c r="I117" s="261"/>
      <c r="J117" s="262"/>
      <c r="K117" s="242"/>
    </row>
    <row r="118" spans="2:11">
      <c r="B118" s="242"/>
      <c r="C118" s="242"/>
      <c r="D118" s="242"/>
      <c r="E118" s="242"/>
      <c r="F118" s="206"/>
      <c r="G118" s="242"/>
      <c r="H118" s="260"/>
      <c r="I118" s="261"/>
      <c r="J118" s="262"/>
      <c r="K118" s="242"/>
    </row>
    <row r="119" spans="2:11">
      <c r="B119" s="242"/>
      <c r="C119" s="242"/>
      <c r="D119" s="242"/>
      <c r="E119" s="242"/>
      <c r="F119" s="206"/>
      <c r="G119" s="242"/>
      <c r="H119" s="260"/>
      <c r="I119" s="261"/>
      <c r="J119" s="262"/>
      <c r="K119" s="242"/>
    </row>
    <row r="120" spans="2:11">
      <c r="D120" s="242"/>
      <c r="E120" s="242"/>
      <c r="F120" s="206"/>
      <c r="G120" s="242"/>
      <c r="H120" s="260"/>
      <c r="I120" s="261"/>
      <c r="J120" s="262"/>
      <c r="K120" s="242"/>
    </row>
    <row r="121" spans="2:11">
      <c r="D121" s="242"/>
      <c r="E121" s="242"/>
      <c r="F121" s="206"/>
      <c r="G121" s="242"/>
      <c r="H121" s="260"/>
      <c r="I121" s="261"/>
      <c r="J121" s="262"/>
      <c r="K121" s="242"/>
    </row>
    <row r="122" spans="2:11">
      <c r="D122" s="242"/>
      <c r="E122" s="242"/>
      <c r="F122" s="206"/>
      <c r="G122" s="242"/>
      <c r="H122" s="260"/>
      <c r="I122" s="261"/>
      <c r="J122" s="262"/>
      <c r="K122" s="242"/>
    </row>
    <row r="123" spans="2:11">
      <c r="D123" s="242"/>
      <c r="E123" s="242"/>
      <c r="F123" s="206"/>
      <c r="G123" s="242"/>
      <c r="H123" s="260"/>
      <c r="I123" s="261"/>
      <c r="J123" s="262"/>
      <c r="K123" s="242"/>
    </row>
    <row r="124" spans="2:11">
      <c r="D124" s="242"/>
      <c r="E124" s="242"/>
      <c r="F124" s="206"/>
      <c r="G124" s="242"/>
      <c r="H124" s="260"/>
      <c r="I124" s="261"/>
      <c r="J124" s="262"/>
      <c r="K124" s="242"/>
    </row>
    <row r="125" spans="2:11">
      <c r="D125" s="242"/>
      <c r="E125" s="242"/>
      <c r="F125" s="206"/>
      <c r="G125" s="242"/>
      <c r="H125" s="260"/>
      <c r="I125" s="261"/>
      <c r="J125" s="262"/>
      <c r="K125" s="242"/>
    </row>
    <row r="126" spans="2:11">
      <c r="D126" s="242"/>
      <c r="E126" s="242"/>
      <c r="F126" s="206"/>
      <c r="G126" s="242"/>
      <c r="H126" s="260"/>
      <c r="I126" s="261"/>
      <c r="J126" s="262"/>
      <c r="K126" s="242"/>
    </row>
    <row r="127" spans="2:11">
      <c r="D127" s="242"/>
      <c r="E127" s="242"/>
      <c r="F127" s="206"/>
      <c r="G127" s="242"/>
      <c r="H127" s="260"/>
      <c r="I127" s="261"/>
      <c r="J127" s="262"/>
      <c r="K127" s="242"/>
    </row>
    <row r="128" spans="2:11">
      <c r="D128" s="242"/>
      <c r="E128" s="242"/>
      <c r="F128" s="206"/>
      <c r="G128" s="242"/>
      <c r="H128" s="260"/>
      <c r="I128" s="261"/>
      <c r="J128" s="262"/>
      <c r="K128" s="242"/>
    </row>
    <row r="129" spans="4:11">
      <c r="D129" s="242"/>
      <c r="E129" s="242"/>
      <c r="F129" s="206"/>
      <c r="G129" s="242"/>
      <c r="H129" s="260"/>
      <c r="I129" s="261"/>
      <c r="J129" s="262"/>
      <c r="K129" s="242"/>
    </row>
    <row r="130" spans="4:11">
      <c r="D130" s="242"/>
      <c r="E130" s="242"/>
      <c r="F130" s="206"/>
      <c r="G130" s="242"/>
      <c r="H130" s="260"/>
      <c r="I130" s="261"/>
      <c r="J130" s="262"/>
      <c r="K130" s="242"/>
    </row>
    <row r="131" spans="4:11">
      <c r="D131" s="242"/>
      <c r="E131" s="242"/>
      <c r="F131" s="206"/>
      <c r="G131" s="242"/>
      <c r="H131" s="260"/>
      <c r="I131" s="261"/>
      <c r="J131" s="262"/>
      <c r="K131" s="242"/>
    </row>
    <row r="132" spans="4:11">
      <c r="D132" s="242"/>
      <c r="E132" s="242"/>
      <c r="F132" s="206"/>
      <c r="G132" s="242"/>
      <c r="H132" s="260"/>
      <c r="I132" s="261"/>
      <c r="J132" s="262"/>
      <c r="K132" s="242"/>
    </row>
    <row r="133" spans="4:11">
      <c r="D133" s="242"/>
      <c r="E133" s="242"/>
      <c r="F133" s="206"/>
      <c r="G133" s="242"/>
      <c r="H133" s="260"/>
      <c r="I133" s="261"/>
      <c r="J133" s="262"/>
      <c r="K133" s="242"/>
    </row>
    <row r="134" spans="4:11">
      <c r="D134" s="242"/>
      <c r="E134" s="242"/>
      <c r="F134" s="206"/>
      <c r="G134" s="242"/>
      <c r="H134" s="260"/>
      <c r="I134" s="261"/>
      <c r="J134" s="262"/>
      <c r="K134" s="242"/>
    </row>
    <row r="135" spans="4:11">
      <c r="D135" s="242"/>
      <c r="E135" s="242"/>
      <c r="F135" s="206"/>
      <c r="G135" s="242"/>
      <c r="H135" s="260"/>
      <c r="I135" s="261"/>
      <c r="J135" s="262"/>
      <c r="K135" s="242"/>
    </row>
    <row r="136" spans="4:11">
      <c r="D136" s="242"/>
      <c r="E136" s="242"/>
      <c r="F136" s="206"/>
      <c r="G136" s="242"/>
      <c r="H136" s="260"/>
      <c r="I136" s="261"/>
      <c r="J136" s="262"/>
      <c r="K136" s="242"/>
    </row>
    <row r="137" spans="4:11">
      <c r="D137" s="242"/>
      <c r="E137" s="242"/>
      <c r="F137" s="206"/>
      <c r="G137" s="242"/>
      <c r="H137" s="260"/>
      <c r="I137" s="261"/>
      <c r="J137" s="262"/>
    </row>
    <row r="138" spans="4:11">
      <c r="D138" s="242"/>
      <c r="E138" s="242"/>
      <c r="F138" s="206"/>
      <c r="G138" s="242"/>
      <c r="H138" s="260"/>
      <c r="I138" s="261"/>
      <c r="J138" s="262"/>
    </row>
    <row r="139" spans="4:11">
      <c r="D139" s="242"/>
      <c r="E139" s="242"/>
      <c r="F139" s="206"/>
      <c r="G139" s="242"/>
      <c r="H139" s="260"/>
      <c r="I139" s="261"/>
      <c r="J139" s="262"/>
    </row>
    <row r="140" spans="4:11">
      <c r="D140" s="242"/>
      <c r="E140" s="242"/>
      <c r="F140" s="206"/>
      <c r="G140" s="242"/>
      <c r="H140" s="260"/>
      <c r="I140" s="261"/>
      <c r="J140" s="262"/>
    </row>
    <row r="141" spans="4:11">
      <c r="D141" s="242"/>
      <c r="E141" s="242"/>
      <c r="F141" s="206"/>
      <c r="G141" s="242"/>
      <c r="H141" s="260"/>
      <c r="I141" s="261"/>
      <c r="J141" s="262"/>
    </row>
    <row r="142" spans="4:11">
      <c r="D142" s="242"/>
      <c r="E142" s="242"/>
      <c r="F142" s="206"/>
      <c r="G142" s="242"/>
      <c r="H142" s="260"/>
      <c r="I142" s="261"/>
      <c r="J142" s="262"/>
    </row>
    <row r="143" spans="4:11">
      <c r="D143" s="242"/>
      <c r="E143" s="242"/>
      <c r="F143" s="206"/>
      <c r="G143" s="242"/>
      <c r="H143" s="260"/>
      <c r="I143" s="261"/>
      <c r="J143" s="262"/>
    </row>
    <row r="144" spans="4:11">
      <c r="D144" s="242"/>
      <c r="E144" s="242"/>
      <c r="F144" s="206"/>
      <c r="G144" s="242"/>
      <c r="H144" s="260"/>
      <c r="I144" s="266"/>
      <c r="J144" s="262"/>
    </row>
    <row r="145" spans="4:10">
      <c r="D145" s="242"/>
      <c r="E145" s="242"/>
      <c r="F145" s="206"/>
      <c r="G145" s="242"/>
      <c r="H145" s="260"/>
      <c r="I145" s="266"/>
      <c r="J145" s="262"/>
    </row>
    <row r="146" spans="4:10">
      <c r="D146" s="242"/>
      <c r="E146" s="242"/>
      <c r="F146" s="206"/>
      <c r="G146" s="242"/>
      <c r="H146" s="260"/>
      <c r="I146" s="266"/>
      <c r="J146" s="262"/>
    </row>
    <row r="147" spans="4:10">
      <c r="D147" s="242"/>
      <c r="E147" s="242"/>
      <c r="F147" s="206"/>
      <c r="G147" s="242"/>
      <c r="H147" s="260"/>
      <c r="I147" s="266"/>
      <c r="J147" s="262"/>
    </row>
    <row r="148" spans="4:10">
      <c r="D148" s="242"/>
      <c r="E148" s="242"/>
      <c r="F148" s="206"/>
      <c r="G148" s="242"/>
      <c r="H148" s="260"/>
      <c r="I148" s="266"/>
      <c r="J148" s="262"/>
    </row>
    <row r="149" spans="4:10">
      <c r="D149" s="242"/>
      <c r="E149" s="242"/>
      <c r="F149" s="206"/>
      <c r="G149" s="242"/>
      <c r="H149" s="260"/>
      <c r="I149" s="266"/>
      <c r="J149" s="262"/>
    </row>
    <row r="150" spans="4:10">
      <c r="D150" s="242"/>
      <c r="E150" s="242"/>
      <c r="F150" s="206"/>
      <c r="G150" s="242"/>
      <c r="H150" s="260"/>
      <c r="I150" s="266"/>
      <c r="J150" s="262"/>
    </row>
    <row r="151" spans="4:10">
      <c r="D151" s="242"/>
      <c r="E151" s="242"/>
      <c r="F151" s="206"/>
      <c r="G151" s="242"/>
      <c r="H151" s="260"/>
      <c r="I151" s="266"/>
      <c r="J151" s="262"/>
    </row>
    <row r="152" spans="4:10">
      <c r="D152" s="242"/>
      <c r="E152" s="242"/>
      <c r="F152" s="206"/>
      <c r="G152" s="242"/>
      <c r="H152" s="260"/>
      <c r="I152" s="266"/>
      <c r="J152" s="262"/>
    </row>
    <row r="153" spans="4:10">
      <c r="D153" s="242"/>
      <c r="E153" s="242"/>
      <c r="F153" s="206"/>
      <c r="G153" s="242"/>
      <c r="H153" s="260"/>
      <c r="I153" s="266"/>
      <c r="J153" s="262"/>
    </row>
    <row r="154" spans="4:10">
      <c r="D154" s="242"/>
      <c r="E154" s="242"/>
      <c r="F154" s="206"/>
      <c r="G154" s="242"/>
      <c r="H154" s="260"/>
      <c r="I154" s="266"/>
      <c r="J154" s="262"/>
    </row>
    <row r="155" spans="4:10">
      <c r="D155" s="242"/>
      <c r="E155" s="242"/>
      <c r="F155" s="206"/>
      <c r="G155" s="242"/>
      <c r="H155" s="260"/>
      <c r="I155" s="266"/>
      <c r="J155" s="262"/>
    </row>
    <row r="156" spans="4:10">
      <c r="D156" s="242"/>
      <c r="E156" s="242"/>
      <c r="F156" s="206"/>
      <c r="G156" s="242"/>
      <c r="H156" s="260"/>
      <c r="I156" s="266"/>
      <c r="J156" s="262"/>
    </row>
    <row r="157" spans="4:10">
      <c r="D157" s="242"/>
      <c r="E157" s="242"/>
      <c r="F157" s="206"/>
      <c r="G157" s="242"/>
      <c r="H157" s="260"/>
      <c r="I157" s="266"/>
      <c r="J157" s="262"/>
    </row>
    <row r="158" spans="4:10">
      <c r="D158" s="242"/>
      <c r="E158" s="242"/>
      <c r="F158" s="206"/>
      <c r="G158" s="242"/>
      <c r="H158" s="260"/>
      <c r="I158" s="266"/>
      <c r="J158" s="262"/>
    </row>
    <row r="159" spans="4:10">
      <c r="D159" s="242"/>
      <c r="E159" s="242"/>
      <c r="F159" s="206"/>
      <c r="G159" s="242"/>
      <c r="H159" s="260"/>
      <c r="I159" s="266"/>
      <c r="J159" s="262"/>
    </row>
    <row r="160" spans="4:10">
      <c r="D160" s="242"/>
      <c r="E160" s="242"/>
      <c r="F160" s="206"/>
      <c r="G160" s="242"/>
      <c r="H160" s="260"/>
      <c r="I160" s="266"/>
      <c r="J160" s="262"/>
    </row>
    <row r="161" spans="4:10">
      <c r="D161" s="242"/>
      <c r="E161" s="242"/>
      <c r="F161" s="206"/>
      <c r="G161" s="242"/>
      <c r="H161" s="260"/>
      <c r="I161" s="266"/>
      <c r="J161" s="262"/>
    </row>
    <row r="162" spans="4:10">
      <c r="D162" s="242"/>
      <c r="E162" s="242"/>
      <c r="F162" s="206"/>
      <c r="G162" s="242"/>
      <c r="H162" s="260"/>
      <c r="I162" s="266"/>
      <c r="J162" s="262"/>
    </row>
    <row r="163" spans="4:10">
      <c r="D163" s="242"/>
      <c r="E163" s="242"/>
      <c r="F163" s="206"/>
      <c r="G163" s="242"/>
      <c r="H163" s="260"/>
      <c r="I163" s="266"/>
      <c r="J163" s="262"/>
    </row>
    <row r="164" spans="4:10">
      <c r="D164" s="242"/>
      <c r="E164" s="242"/>
      <c r="F164" s="206"/>
      <c r="G164" s="242"/>
      <c r="H164" s="260"/>
      <c r="I164" s="266"/>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62"/>
    </row>
    <row r="184" spans="4:10">
      <c r="D184" s="242"/>
      <c r="E184" s="242"/>
      <c r="F184" s="206"/>
      <c r="G184" s="242"/>
      <c r="H184" s="260"/>
      <c r="I184" s="266"/>
      <c r="J184" s="262"/>
    </row>
    <row r="185" spans="4:10">
      <c r="D185" s="242"/>
      <c r="E185" s="242"/>
      <c r="F185" s="206"/>
      <c r="G185" s="242"/>
      <c r="H185" s="260"/>
      <c r="I185" s="266"/>
      <c r="J185" s="262"/>
    </row>
    <row r="186" spans="4:10">
      <c r="D186" s="242"/>
      <c r="E186" s="242"/>
      <c r="F186" s="206"/>
      <c r="G186" s="242"/>
      <c r="H186" s="260"/>
      <c r="I186" s="266"/>
      <c r="J186" s="262"/>
    </row>
    <row r="187" spans="4:10">
      <c r="D187" s="242"/>
      <c r="E187" s="242"/>
      <c r="F187" s="206"/>
      <c r="G187" s="242"/>
      <c r="H187" s="260"/>
      <c r="I187" s="266"/>
      <c r="J187" s="262"/>
    </row>
    <row r="188" spans="4:10">
      <c r="D188" s="242"/>
      <c r="E188" s="242"/>
      <c r="F188" s="206"/>
      <c r="G188" s="242"/>
      <c r="H188" s="260"/>
      <c r="I188" s="266"/>
      <c r="J188" s="262"/>
    </row>
    <row r="189" spans="4:10">
      <c r="D189" s="242"/>
      <c r="E189" s="242"/>
      <c r="F189" s="206"/>
      <c r="G189" s="242"/>
      <c r="H189" s="260"/>
      <c r="I189" s="266"/>
      <c r="J189" s="206"/>
    </row>
    <row r="190" spans="4:10">
      <c r="D190" s="242"/>
      <c r="E190" s="242"/>
      <c r="F190" s="206"/>
      <c r="G190" s="242"/>
      <c r="H190" s="260"/>
      <c r="I190" s="266"/>
      <c r="J190" s="206"/>
    </row>
    <row r="191" spans="4:10">
      <c r="D191" s="242"/>
      <c r="E191" s="242"/>
      <c r="F191" s="206"/>
      <c r="G191" s="242"/>
      <c r="H191" s="260"/>
      <c r="I191" s="266"/>
      <c r="J191" s="206"/>
    </row>
    <row r="192" spans="4:10">
      <c r="D192" s="242"/>
      <c r="E192" s="242"/>
      <c r="F192" s="206"/>
      <c r="G192" s="242"/>
      <c r="H192" s="260"/>
      <c r="I192" s="266"/>
      <c r="J192" s="206"/>
    </row>
    <row r="193" spans="4:10">
      <c r="D193" s="242"/>
      <c r="E193" s="242"/>
      <c r="F193" s="206"/>
      <c r="G193" s="242"/>
      <c r="H193" s="260"/>
      <c r="I193" s="266"/>
      <c r="J193" s="206"/>
    </row>
    <row r="194" spans="4:10">
      <c r="D194" s="242"/>
      <c r="E194" s="242"/>
      <c r="F194" s="206"/>
      <c r="G194" s="242"/>
      <c r="H194" s="260"/>
      <c r="I194" s="266"/>
      <c r="J194" s="206"/>
    </row>
    <row r="195" spans="4:10">
      <c r="D195" s="242"/>
      <c r="E195" s="242"/>
      <c r="F195" s="206"/>
      <c r="G195" s="242"/>
      <c r="H195" s="260"/>
      <c r="I195" s="266"/>
      <c r="J195" s="206"/>
    </row>
    <row r="196" spans="4:10">
      <c r="D196" s="242"/>
      <c r="E196" s="242"/>
      <c r="F196" s="206"/>
      <c r="G196" s="242"/>
      <c r="H196" s="260"/>
      <c r="I196" s="266"/>
      <c r="J196" s="206"/>
    </row>
    <row r="197" spans="4:10">
      <c r="D197" s="242"/>
      <c r="E197" s="242"/>
      <c r="F197" s="206"/>
      <c r="G197" s="242"/>
      <c r="H197" s="260"/>
      <c r="I197" s="266"/>
      <c r="J197" s="206"/>
    </row>
    <row r="198" spans="4:10">
      <c r="D198" s="242"/>
      <c r="E198" s="242"/>
      <c r="F198" s="206"/>
      <c r="G198" s="242"/>
      <c r="H198" s="260"/>
      <c r="I198" s="266"/>
      <c r="J198" s="206"/>
    </row>
    <row r="199" spans="4:10">
      <c r="D199" s="242"/>
      <c r="E199" s="242"/>
      <c r="F199" s="206"/>
      <c r="G199" s="242"/>
      <c r="H199" s="260"/>
      <c r="I199" s="266"/>
      <c r="J199" s="206"/>
    </row>
    <row r="200" spans="4:10">
      <c r="D200" s="242"/>
      <c r="E200" s="242"/>
      <c r="F200" s="206"/>
      <c r="G200" s="242"/>
      <c r="H200" s="260"/>
      <c r="I200" s="266"/>
      <c r="J200" s="206"/>
    </row>
    <row r="201" spans="4:10">
      <c r="D201" s="242"/>
      <c r="E201" s="242"/>
      <c r="F201" s="206"/>
      <c r="G201" s="242"/>
      <c r="H201" s="260"/>
      <c r="I201" s="266"/>
      <c r="J201" s="206"/>
    </row>
    <row r="202" spans="4:10">
      <c r="D202" s="242"/>
      <c r="E202" s="242"/>
      <c r="F202" s="206"/>
      <c r="G202" s="242"/>
      <c r="H202" s="260"/>
      <c r="I202" s="266"/>
      <c r="J202" s="206"/>
    </row>
    <row r="203" spans="4:10">
      <c r="D203" s="242"/>
      <c r="E203" s="242"/>
      <c r="F203" s="206"/>
      <c r="G203" s="242"/>
      <c r="H203" s="260"/>
      <c r="I203" s="266"/>
      <c r="J203" s="206"/>
    </row>
    <row r="204" spans="4:10">
      <c r="D204" s="242"/>
      <c r="E204" s="242"/>
      <c r="F204" s="206"/>
      <c r="G204" s="242"/>
      <c r="H204" s="260"/>
      <c r="I204" s="266"/>
      <c r="J204" s="206"/>
    </row>
    <row r="205" spans="4:10">
      <c r="D205" s="242"/>
      <c r="E205" s="242"/>
      <c r="F205" s="206"/>
      <c r="G205" s="242"/>
      <c r="H205" s="260"/>
      <c r="I205" s="266"/>
      <c r="J205" s="206"/>
    </row>
    <row r="206" spans="4:10">
      <c r="D206" s="242"/>
      <c r="E206" s="242"/>
      <c r="F206" s="206"/>
      <c r="G206" s="242"/>
      <c r="H206" s="260"/>
      <c r="I206" s="266"/>
      <c r="J206" s="206"/>
    </row>
    <row r="207" spans="4:10">
      <c r="D207" s="242"/>
      <c r="E207" s="242"/>
      <c r="F207" s="206"/>
      <c r="G207" s="242"/>
      <c r="H207" s="260"/>
      <c r="I207" s="266"/>
      <c r="J207" s="206"/>
    </row>
    <row r="208" spans="4:10">
      <c r="D208" s="242"/>
      <c r="E208" s="242"/>
      <c r="F208" s="206"/>
      <c r="G208" s="242"/>
      <c r="H208" s="260"/>
      <c r="I208" s="266"/>
      <c r="J208" s="206"/>
    </row>
    <row r="209" spans="4:10">
      <c r="D209" s="242"/>
      <c r="E209" s="242"/>
      <c r="F209" s="206"/>
      <c r="G209" s="242"/>
      <c r="H209" s="260"/>
      <c r="I209" s="266"/>
      <c r="J209" s="206"/>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60"/>
      <c r="I253" s="266"/>
      <c r="J253" s="206"/>
    </row>
    <row r="254" spans="4:10">
      <c r="D254" s="242"/>
      <c r="E254" s="242"/>
      <c r="F254" s="206"/>
      <c r="G254" s="242"/>
      <c r="H254" s="260"/>
      <c r="I254" s="266"/>
      <c r="J254" s="206"/>
    </row>
    <row r="255" spans="4:10">
      <c r="D255" s="242"/>
      <c r="E255" s="242"/>
      <c r="F255" s="206"/>
      <c r="G255" s="242"/>
      <c r="H255" s="260"/>
      <c r="I255" s="266"/>
      <c r="J255" s="206"/>
    </row>
    <row r="256" spans="4:10">
      <c r="D256" s="242"/>
      <c r="E256" s="242"/>
      <c r="F256" s="206"/>
      <c r="G256" s="242"/>
      <c r="H256" s="260"/>
      <c r="I256" s="266"/>
      <c r="J256" s="206"/>
    </row>
    <row r="257" spans="4:10">
      <c r="D257" s="242"/>
      <c r="E257" s="242"/>
      <c r="F257" s="206"/>
      <c r="G257" s="242"/>
      <c r="H257" s="260"/>
      <c r="I257" s="266"/>
      <c r="J257" s="206"/>
    </row>
    <row r="258" spans="4:10">
      <c r="D258" s="242"/>
      <c r="E258" s="242"/>
      <c r="F258" s="206"/>
      <c r="G258" s="242"/>
      <c r="H258" s="260"/>
      <c r="I258" s="266"/>
      <c r="J258" s="206"/>
    </row>
    <row r="259" spans="4:10">
      <c r="D259" s="242"/>
      <c r="E259" s="242"/>
      <c r="F259" s="206"/>
      <c r="G259" s="242"/>
      <c r="H259" s="206"/>
      <c r="I259" s="266"/>
      <c r="J259" s="206"/>
    </row>
    <row r="260" spans="4:10">
      <c r="D260" s="242"/>
      <c r="E260" s="242"/>
      <c r="F260" s="206"/>
      <c r="G260" s="242"/>
      <c r="H260" s="206"/>
      <c r="I260" s="266"/>
      <c r="J260" s="206"/>
    </row>
    <row r="261" spans="4:10">
      <c r="D261" s="242"/>
      <c r="E261" s="242"/>
      <c r="F261" s="206"/>
      <c r="G261" s="242"/>
      <c r="H261" s="206"/>
      <c r="I261" s="266"/>
      <c r="J261" s="206"/>
    </row>
    <row r="262" spans="4:10">
      <c r="D262" s="242"/>
      <c r="E262" s="242"/>
      <c r="F262" s="206"/>
      <c r="G262" s="242"/>
      <c r="H262" s="206"/>
      <c r="I262" s="266"/>
      <c r="J262" s="206"/>
    </row>
    <row r="263" spans="4:10">
      <c r="D263" s="242"/>
      <c r="E263" s="242"/>
      <c r="F263" s="206"/>
      <c r="G263" s="242"/>
      <c r="H263" s="206"/>
      <c r="I263" s="266"/>
      <c r="J263" s="206"/>
    </row>
    <row r="264" spans="4:10">
      <c r="D264" s="242"/>
      <c r="E264" s="242"/>
      <c r="F264" s="206"/>
      <c r="G264" s="242"/>
      <c r="H264" s="206"/>
      <c r="I264" s="266"/>
      <c r="J264" s="206"/>
    </row>
    <row r="265" spans="4:10">
      <c r="D265" s="242"/>
      <c r="E265" s="242"/>
      <c r="F265" s="206"/>
      <c r="G265" s="242"/>
      <c r="H265" s="206"/>
      <c r="I265" s="266"/>
      <c r="J265" s="206"/>
    </row>
    <row r="266" spans="4:10">
      <c r="D266" s="242"/>
      <c r="E266" s="242"/>
      <c r="F266" s="206"/>
      <c r="G266" s="242"/>
      <c r="H266" s="206"/>
      <c r="I266" s="266"/>
      <c r="J266" s="206"/>
    </row>
    <row r="267" spans="4:10">
      <c r="D267" s="242"/>
      <c r="E267" s="242"/>
      <c r="F267" s="206"/>
      <c r="G267" s="242"/>
      <c r="H267" s="206"/>
      <c r="I267" s="266"/>
      <c r="J267" s="206"/>
    </row>
    <row r="268" spans="4:10">
      <c r="D268" s="242"/>
      <c r="E268" s="242"/>
      <c r="F268" s="206"/>
      <c r="G268" s="242"/>
      <c r="H268" s="206"/>
      <c r="I268" s="266"/>
      <c r="J268" s="206"/>
    </row>
    <row r="269" spans="4:10">
      <c r="D269" s="242"/>
      <c r="E269" s="242"/>
      <c r="F269" s="206"/>
      <c r="G269" s="242"/>
      <c r="H269" s="206"/>
      <c r="I269" s="266"/>
      <c r="J269" s="206"/>
    </row>
    <row r="270" spans="4:10">
      <c r="D270" s="242"/>
      <c r="E270" s="242"/>
      <c r="F270" s="206"/>
      <c r="G270" s="242"/>
      <c r="H270" s="206"/>
      <c r="I270" s="266"/>
      <c r="J270" s="206"/>
    </row>
    <row r="271" spans="4:10">
      <c r="D271" s="242"/>
      <c r="E271" s="242"/>
      <c r="F271" s="206"/>
      <c r="G271" s="242"/>
      <c r="H271" s="206"/>
      <c r="I271" s="266"/>
      <c r="J271" s="206"/>
    </row>
    <row r="272" spans="4:10">
      <c r="D272" s="242"/>
      <c r="E272" s="242"/>
      <c r="F272" s="206"/>
      <c r="G272" s="242"/>
      <c r="H272" s="206"/>
      <c r="I272" s="266"/>
      <c r="J272" s="206"/>
    </row>
    <row r="273" spans="4:10">
      <c r="D273" s="242"/>
      <c r="E273" s="242"/>
      <c r="F273" s="206"/>
      <c r="G273" s="242"/>
      <c r="H273" s="206"/>
      <c r="I273" s="266"/>
      <c r="J273" s="206"/>
    </row>
    <row r="274" spans="4:10">
      <c r="D274" s="242"/>
      <c r="E274" s="242"/>
      <c r="F274" s="206"/>
      <c r="G274" s="242"/>
      <c r="H274" s="206"/>
      <c r="I274" s="266"/>
      <c r="J274" s="206"/>
    </row>
    <row r="275" spans="4:10">
      <c r="D275" s="242"/>
      <c r="E275" s="242"/>
      <c r="F275" s="206"/>
      <c r="G275" s="242"/>
      <c r="H275" s="206"/>
      <c r="I275" s="266"/>
      <c r="J275" s="206"/>
    </row>
    <row r="276" spans="4:10">
      <c r="D276" s="242"/>
      <c r="E276" s="242"/>
      <c r="F276" s="206"/>
      <c r="G276" s="242"/>
      <c r="H276" s="206"/>
      <c r="I276" s="266"/>
      <c r="J276" s="206"/>
    </row>
    <row r="277" spans="4:10">
      <c r="D277" s="242"/>
      <c r="E277" s="242"/>
      <c r="F277" s="206"/>
      <c r="G277" s="242"/>
      <c r="H277" s="206"/>
      <c r="I277" s="266"/>
      <c r="J277" s="206"/>
    </row>
    <row r="278" spans="4:10">
      <c r="D278" s="242"/>
      <c r="E278" s="242"/>
      <c r="F278" s="206"/>
      <c r="G278" s="242"/>
      <c r="H278" s="206"/>
      <c r="I278" s="266"/>
      <c r="J278" s="206"/>
    </row>
    <row r="279" spans="4:10">
      <c r="D279" s="242"/>
      <c r="E279" s="242"/>
      <c r="F279" s="206"/>
      <c r="G279" s="242"/>
      <c r="H279" s="206"/>
      <c r="I279" s="266"/>
      <c r="J279" s="206"/>
    </row>
    <row r="280" spans="4:10">
      <c r="D280" s="242"/>
      <c r="E280" s="242"/>
      <c r="F280" s="206"/>
      <c r="G280" s="242"/>
      <c r="H280" s="206"/>
      <c r="I280" s="266"/>
      <c r="J280" s="206"/>
    </row>
    <row r="281" spans="4:10">
      <c r="D281" s="242"/>
      <c r="E281" s="242"/>
      <c r="F281" s="206"/>
      <c r="G281" s="242"/>
      <c r="H281" s="206"/>
      <c r="I281" s="266"/>
      <c r="J281" s="206"/>
    </row>
    <row r="282" spans="4:10">
      <c r="D282" s="242"/>
      <c r="E282" s="242"/>
      <c r="F282" s="206"/>
      <c r="G282" s="242"/>
      <c r="H282" s="206"/>
      <c r="I282" s="266"/>
      <c r="J282" s="206"/>
    </row>
    <row r="283" spans="4:10">
      <c r="I283" s="267"/>
    </row>
    <row r="284" spans="4:10">
      <c r="I284" s="267"/>
    </row>
    <row r="285" spans="4:10">
      <c r="I285" s="267"/>
    </row>
    <row r="286" spans="4:10">
      <c r="I286" s="267"/>
    </row>
    <row r="287" spans="4:10">
      <c r="I287" s="267"/>
    </row>
    <row r="288" spans="4:10">
      <c r="I288" s="267"/>
    </row>
    <row r="289" spans="1:28">
      <c r="I289" s="267"/>
    </row>
    <row r="290" spans="1:28">
      <c r="I290" s="267"/>
    </row>
    <row r="297" spans="1:28" s="104" customFormat="1">
      <c r="A297"/>
      <c r="B297"/>
      <c r="C297"/>
      <c r="D297"/>
      <c r="E297"/>
      <c r="F297" s="105"/>
      <c r="G297"/>
      <c r="I297" s="108"/>
      <c r="K297"/>
      <c r="L297"/>
      <c r="M297"/>
      <c r="N297"/>
      <c r="O297"/>
      <c r="P297"/>
      <c r="Q297"/>
      <c r="R297"/>
      <c r="S297"/>
      <c r="T297"/>
      <c r="U297"/>
      <c r="V297"/>
      <c r="W297"/>
      <c r="X297"/>
      <c r="Y297"/>
      <c r="Z297"/>
      <c r="AA297"/>
      <c r="AB297"/>
    </row>
  </sheetData>
  <pageMargins left="0.70866141732283472" right="0.70866141732283472" top="0.74803149606299213" bottom="0.74803149606299213" header="0.31496062992125984" footer="0.31496062992125984"/>
  <pageSetup paperSize="9" scale="87" orientation="portrait" r:id="rId1"/>
  <headerFooter>
    <oddHeader>&amp;CProjekt Dolenje in Gorenje Ponikve:
Kanalizacija, rekonstrukcija vodovoda in pločnik med naseljema</oddHeader>
    <oddFooter>&amp;R&amp;P/&amp;N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N28"/>
  <sheetViews>
    <sheetView showZeros="0" view="pageBreakPreview" topLeftCell="A13" zoomScale="120" zoomScaleSheetLayoutView="120" workbookViewId="0">
      <selection activeCell="F25" sqref="F25"/>
    </sheetView>
  </sheetViews>
  <sheetFormatPr defaultColWidth="9" defaultRowHeight="12"/>
  <cols>
    <col min="1" max="1" width="4.28515625" style="281" customWidth="1"/>
    <col min="2" max="2" width="40.7109375" style="285" customWidth="1"/>
    <col min="3" max="3" width="4.7109375" style="282" customWidth="1"/>
    <col min="4" max="4" width="7.7109375" style="283" customWidth="1"/>
    <col min="5" max="6" width="15.7109375" style="284" customWidth="1"/>
    <col min="7" max="7" width="9" style="280"/>
    <col min="8" max="8" width="18.7109375" style="280" customWidth="1"/>
    <col min="9" max="16384" width="9" style="280"/>
  </cols>
  <sheetData>
    <row r="1" spans="1:14" s="268" customFormat="1" ht="12" customHeight="1">
      <c r="I1" s="269"/>
    </row>
    <row r="2" spans="1:14" s="268" customFormat="1" ht="12" customHeight="1">
      <c r="A2" s="270"/>
      <c r="B2" s="270"/>
      <c r="C2" s="270"/>
      <c r="D2" s="270"/>
      <c r="E2" s="270"/>
      <c r="I2" s="269"/>
    </row>
    <row r="3" spans="1:14" s="288" customFormat="1" ht="9">
      <c r="A3" s="271"/>
      <c r="B3" s="272"/>
      <c r="C3" s="273"/>
      <c r="D3" s="273"/>
      <c r="E3" s="286"/>
      <c r="F3" s="287"/>
      <c r="G3" s="274"/>
    </row>
    <row r="4" spans="1:14">
      <c r="A4" s="275"/>
      <c r="B4" s="276"/>
      <c r="C4" s="277"/>
      <c r="D4" s="278"/>
      <c r="E4" s="279"/>
      <c r="F4" s="279"/>
    </row>
    <row r="6" spans="1:14" s="294" customFormat="1" ht="19.899999999999999" customHeight="1">
      <c r="A6" s="289" t="s">
        <v>20</v>
      </c>
      <c r="B6" s="290"/>
      <c r="C6" s="291" t="str">
        <f>CONCATENATE(H6,"  POPIS MATERIALA IN DEL S PROJEKTANTSKIM PREDRAČUNOM ")</f>
        <v xml:space="preserve">  POPIS MATERIALA IN DEL S PROJEKTANTSKIM PREDRAČUNOM </v>
      </c>
      <c r="D6" s="292"/>
      <c r="E6" s="293"/>
      <c r="F6" s="293"/>
      <c r="H6" s="295"/>
      <c r="I6" s="295"/>
      <c r="J6" s="296"/>
      <c r="K6" s="295"/>
      <c r="L6" s="297"/>
      <c r="M6" s="298"/>
      <c r="N6" s="299"/>
    </row>
    <row r="7" spans="1:14" s="294" customFormat="1" ht="19.899999999999999" customHeight="1">
      <c r="A7" s="289"/>
      <c r="B7" s="290"/>
      <c r="C7" s="300"/>
      <c r="D7" s="292"/>
      <c r="E7" s="293"/>
      <c r="F7" s="293"/>
      <c r="H7" s="295"/>
      <c r="I7" s="295"/>
      <c r="J7" s="295"/>
      <c r="K7" s="295"/>
      <c r="L7" s="295"/>
      <c r="M7" s="295"/>
      <c r="N7" s="295"/>
    </row>
    <row r="8" spans="1:14" s="294" customFormat="1" ht="19.899999999999999" customHeight="1">
      <c r="A8" s="289"/>
      <c r="B8" s="290"/>
      <c r="C8" s="300"/>
      <c r="D8" s="292"/>
      <c r="E8" s="293"/>
      <c r="F8" s="293"/>
      <c r="H8" s="295"/>
      <c r="I8" s="295"/>
      <c r="J8" s="295"/>
      <c r="K8" s="295"/>
      <c r="L8" s="295"/>
      <c r="M8" s="295"/>
      <c r="N8" s="295"/>
    </row>
    <row r="9" spans="1:14" s="294" customFormat="1" ht="19.899999999999999" customHeight="1">
      <c r="A9" s="289" t="s">
        <v>20</v>
      </c>
      <c r="B9" s="290"/>
      <c r="C9" s="300"/>
      <c r="D9" s="292"/>
      <c r="E9" s="293"/>
      <c r="F9" s="293"/>
      <c r="H9" s="295"/>
      <c r="I9" s="295"/>
      <c r="J9" s="295"/>
      <c r="K9" s="295"/>
      <c r="L9" s="295"/>
      <c r="M9" s="295"/>
      <c r="N9" s="295"/>
    </row>
    <row r="10" spans="1:14" s="294" customFormat="1" ht="19.899999999999999" customHeight="1">
      <c r="A10" s="289"/>
      <c r="B10" s="290"/>
      <c r="C10" s="291" t="str">
        <f>CONCATENATE(H10,"  REKAPITULACIJA")</f>
        <v xml:space="preserve">  REKAPITULACIJA</v>
      </c>
      <c r="D10" s="292"/>
      <c r="E10" s="293"/>
      <c r="F10" s="293"/>
      <c r="H10" s="295"/>
      <c r="I10" s="295"/>
      <c r="J10" s="299"/>
      <c r="K10" s="299"/>
      <c r="L10" s="295"/>
      <c r="M10" s="295"/>
      <c r="N10" s="295"/>
    </row>
    <row r="11" spans="1:14" s="294" customFormat="1" ht="19.899999999999999" customHeight="1">
      <c r="A11" s="289" t="s">
        <v>20</v>
      </c>
      <c r="B11" s="290"/>
      <c r="C11" s="300"/>
      <c r="D11" s="292"/>
      <c r="E11" s="293"/>
      <c r="F11" s="293"/>
      <c r="H11" s="295"/>
      <c r="I11" s="295"/>
      <c r="J11" s="295"/>
      <c r="K11" s="295"/>
      <c r="L11" s="295"/>
      <c r="M11" s="295"/>
      <c r="N11" s="295"/>
    </row>
    <row r="12" spans="1:14" s="294" customFormat="1" ht="19.899999999999999" customHeight="1">
      <c r="A12" s="289"/>
      <c r="B12" s="290"/>
      <c r="C12" s="291" t="s">
        <v>1</v>
      </c>
      <c r="D12" s="292"/>
      <c r="E12" s="293"/>
      <c r="F12" s="293"/>
      <c r="H12" s="295"/>
      <c r="I12" s="295"/>
      <c r="J12" s="295"/>
      <c r="K12" s="295"/>
      <c r="L12" s="295"/>
      <c r="M12" s="295"/>
      <c r="N12" s="295"/>
    </row>
    <row r="13" spans="1:14" s="294" customFormat="1" ht="19.899999999999999" customHeight="1">
      <c r="A13" s="289"/>
      <c r="B13" s="290"/>
      <c r="C13" s="301"/>
      <c r="D13" s="292"/>
      <c r="E13" s="293"/>
      <c r="F13" s="293"/>
      <c r="H13" s="295"/>
      <c r="I13" s="295"/>
      <c r="J13" s="295"/>
      <c r="K13" s="295"/>
      <c r="L13" s="295"/>
      <c r="M13" s="295"/>
      <c r="N13" s="295"/>
    </row>
    <row r="14" spans="1:14" s="294" customFormat="1" ht="19.899999999999999" customHeight="1">
      <c r="A14" s="289"/>
      <c r="B14" s="290"/>
      <c r="C14" s="302"/>
      <c r="D14" s="292"/>
      <c r="E14" s="293"/>
      <c r="F14" s="293"/>
      <c r="H14" s="295"/>
      <c r="I14" s="295"/>
      <c r="J14" s="295"/>
      <c r="K14" s="295"/>
      <c r="L14" s="295"/>
      <c r="M14" s="295"/>
      <c r="N14" s="295"/>
    </row>
    <row r="15" spans="1:14" s="294" customFormat="1" ht="19.899999999999999" customHeight="1">
      <c r="A15" s="289"/>
      <c r="B15" s="290"/>
      <c r="C15" s="303"/>
      <c r="D15" s="292"/>
      <c r="E15" s="293"/>
      <c r="F15" s="293"/>
      <c r="H15" s="295"/>
      <c r="I15" s="295"/>
      <c r="J15" s="295"/>
      <c r="K15" s="295"/>
      <c r="L15" s="295"/>
      <c r="M15" s="295"/>
      <c r="N15" s="295"/>
    </row>
    <row r="16" spans="1:14" s="294" customFormat="1" ht="19.899999999999999" customHeight="1">
      <c r="A16" s="289"/>
      <c r="B16" s="290"/>
      <c r="C16" s="300"/>
      <c r="D16" s="292"/>
      <c r="E16" s="293"/>
      <c r="F16" s="293"/>
      <c r="H16" s="295"/>
      <c r="I16" s="295"/>
      <c r="J16" s="295"/>
      <c r="K16" s="295"/>
      <c r="L16" s="295"/>
      <c r="M16" s="295"/>
      <c r="N16" s="295"/>
    </row>
    <row r="17" spans="1:14" s="294" customFormat="1" ht="19.899999999999999" customHeight="1">
      <c r="A17" s="289"/>
      <c r="B17" s="290"/>
      <c r="C17" s="300"/>
      <c r="D17" s="292"/>
      <c r="E17" s="293"/>
      <c r="F17" s="293"/>
      <c r="H17" s="295"/>
      <c r="I17" s="295"/>
      <c r="J17" s="295"/>
      <c r="K17" s="295"/>
      <c r="L17" s="295"/>
      <c r="M17" s="295"/>
      <c r="N17" s="295"/>
    </row>
    <row r="18" spans="1:14" s="294" customFormat="1" ht="19.899999999999999" customHeight="1">
      <c r="A18" s="289"/>
      <c r="B18" s="290"/>
      <c r="C18" s="300"/>
      <c r="D18" s="292"/>
      <c r="E18" s="293"/>
      <c r="F18" s="293"/>
      <c r="H18" s="295"/>
      <c r="I18" s="295"/>
      <c r="J18" s="295"/>
      <c r="K18" s="295"/>
      <c r="L18" s="295"/>
      <c r="M18" s="295"/>
      <c r="N18" s="295"/>
    </row>
    <row r="19" spans="1:14" s="294" customFormat="1" ht="19.899999999999999" customHeight="1" thickBot="1">
      <c r="A19" s="289"/>
      <c r="B19" s="304"/>
      <c r="C19" s="305"/>
      <c r="D19" s="306"/>
      <c r="E19" s="307"/>
      <c r="F19" s="307"/>
      <c r="H19" s="295"/>
      <c r="I19" s="295"/>
      <c r="J19" s="295"/>
      <c r="K19" s="295"/>
      <c r="L19" s="295"/>
      <c r="M19" s="295"/>
      <c r="N19" s="295"/>
    </row>
    <row r="20" spans="1:14" s="294" customFormat="1" ht="19.899999999999999" customHeight="1">
      <c r="A20" s="289" t="s">
        <v>20</v>
      </c>
      <c r="B20" s="308" t="s">
        <v>57</v>
      </c>
      <c r="C20" s="309"/>
      <c r="D20" s="310"/>
      <c r="E20" s="311"/>
      <c r="F20" s="473">
        <f>'V1.0'!F24+'V1.1'!F24+'V1.1.1'!F23+'V1.2'!F19+'V1.3'!F19+'V1.5'!F19+'V1.5.1'!F22+'V1.5.1.1'!F13+'V1.5.2'!F18</f>
        <v>0</v>
      </c>
      <c r="H20" s="312"/>
      <c r="I20" s="295"/>
      <c r="J20" s="295"/>
      <c r="K20" s="295"/>
      <c r="L20" s="295"/>
      <c r="M20" s="295"/>
      <c r="N20" s="295"/>
    </row>
    <row r="21" spans="1:14" s="294" customFormat="1" ht="19.899999999999999" customHeight="1">
      <c r="A21" s="289"/>
      <c r="B21" s="308" t="s">
        <v>331</v>
      </c>
      <c r="C21" s="309"/>
      <c r="D21" s="310"/>
      <c r="E21" s="311"/>
      <c r="F21" s="473">
        <f>'V1.0'!F67+'V1.1'!F69+'V1.1.1'!F69+'V1.2'!F61+'V1.3'!F64+'V1.5'!F62+'V1.5.1'!F62+'V1.5.1.1'!F58+'V1.5.2'!F61</f>
        <v>0</v>
      </c>
      <c r="H21" s="312"/>
      <c r="I21" s="295"/>
      <c r="J21" s="295"/>
      <c r="K21" s="295"/>
      <c r="L21" s="295"/>
      <c r="M21" s="295"/>
      <c r="N21" s="295"/>
    </row>
    <row r="22" spans="1:14" s="294" customFormat="1" ht="19.899999999999999" customHeight="1">
      <c r="A22" s="289"/>
      <c r="B22" s="308" t="s">
        <v>332</v>
      </c>
      <c r="C22" s="309"/>
      <c r="D22" s="310"/>
      <c r="E22" s="311"/>
      <c r="F22" s="473">
        <f>'V1.0'!F83+'V1.1'!F85+'V1.1.1'!F80+'V1.2'!F77+'V1.3'!F73+'V1.5'!F78+'V1.5.1'!F78+'V1.5.1.1'!F68+'V1.5.2'!F71</f>
        <v>0</v>
      </c>
      <c r="H22" s="312"/>
      <c r="I22" s="295"/>
      <c r="J22" s="295"/>
      <c r="K22" s="295"/>
      <c r="L22" s="295"/>
      <c r="M22" s="295"/>
      <c r="N22" s="295"/>
    </row>
    <row r="23" spans="1:14" s="294" customFormat="1" ht="19.899999999999999" customHeight="1">
      <c r="A23" s="289"/>
      <c r="B23" s="308" t="s">
        <v>333</v>
      </c>
      <c r="C23" s="309"/>
      <c r="D23" s="310"/>
      <c r="E23" s="311"/>
      <c r="F23" s="473">
        <f>'V1.0'!F120+'V1.1'!F120+'V1.1.1'!F94+'V1.2'!F104+'V1.3'!F91+'V1.5'!F110+'V1.5.1'!F106+'V1.5.1.1'!F87+'V1.5.2'!F91</f>
        <v>0</v>
      </c>
      <c r="H23" s="312"/>
      <c r="I23" s="295"/>
      <c r="J23" s="295"/>
      <c r="K23" s="295"/>
      <c r="L23" s="295"/>
      <c r="M23" s="295"/>
      <c r="N23" s="295"/>
    </row>
    <row r="24" spans="1:14" s="294" customFormat="1" ht="19.899999999999999" customHeight="1" thickBot="1">
      <c r="A24" s="289"/>
      <c r="B24" s="308" t="s">
        <v>334</v>
      </c>
      <c r="C24" s="309"/>
      <c r="D24" s="310"/>
      <c r="E24" s="311"/>
      <c r="F24" s="473">
        <f>'V1.0'!F129+'V1.1'!F130+'V1.1.1'!F104+'V1.2'!F114+'V1.3'!F101+'V1.5'!F120+'V1.5.1'!F116+'V1.5.1.1'!F97+'V1.5.2'!F101</f>
        <v>0</v>
      </c>
      <c r="H24" s="312"/>
      <c r="I24" s="295"/>
      <c r="J24" s="295"/>
      <c r="K24" s="295"/>
      <c r="L24" s="295"/>
      <c r="M24" s="295"/>
      <c r="N24" s="295"/>
    </row>
    <row r="25" spans="1:14" s="294" customFormat="1" ht="19.899999999999999" customHeight="1" thickTop="1">
      <c r="A25" s="289"/>
      <c r="B25" s="313" t="s">
        <v>2</v>
      </c>
      <c r="C25" s="314"/>
      <c r="D25" s="315"/>
      <c r="E25" s="316"/>
      <c r="F25" s="474">
        <f>SUM(F20:F24)</f>
        <v>0</v>
      </c>
      <c r="H25" s="312"/>
      <c r="I25" s="295"/>
      <c r="J25" s="295"/>
      <c r="K25" s="295"/>
      <c r="L25" s="295"/>
      <c r="M25" s="295"/>
      <c r="N25" s="295"/>
    </row>
    <row r="26" spans="1:14" s="294" customFormat="1" ht="19.899999999999999" customHeight="1" thickBot="1">
      <c r="A26" s="289" t="s">
        <v>20</v>
      </c>
      <c r="B26" s="317" t="s">
        <v>3</v>
      </c>
      <c r="C26" s="318"/>
      <c r="D26" s="319"/>
      <c r="E26" s="320"/>
      <c r="F26" s="475" t="str">
        <f>IF(SUM(F25)=0," ",0.22*SUM(F25))</f>
        <v xml:space="preserve"> </v>
      </c>
      <c r="H26" s="312"/>
      <c r="I26" s="295"/>
      <c r="J26" s="295"/>
      <c r="K26" s="295"/>
      <c r="L26" s="295"/>
      <c r="M26" s="295"/>
      <c r="N26" s="295"/>
    </row>
    <row r="27" spans="1:14" s="294" customFormat="1" ht="19.899999999999999" customHeight="1" thickTop="1" thickBot="1">
      <c r="A27" s="289"/>
      <c r="B27" s="321" t="s">
        <v>4</v>
      </c>
      <c r="C27" s="322"/>
      <c r="D27" s="323"/>
      <c r="E27" s="324"/>
      <c r="F27" s="476" t="str">
        <f>IF(SUM(F25:F26)=0," ",SUM(F25:F26))</f>
        <v xml:space="preserve"> </v>
      </c>
      <c r="H27" s="312"/>
      <c r="I27" s="295"/>
      <c r="J27" s="295"/>
      <c r="K27" s="295"/>
      <c r="L27" s="295"/>
      <c r="M27" s="295"/>
      <c r="N27" s="295"/>
    </row>
    <row r="28" spans="1:14" s="294" customFormat="1" ht="19.899999999999999" customHeight="1" thickTop="1">
      <c r="A28" s="289" t="s">
        <v>20</v>
      </c>
      <c r="B28" s="285"/>
      <c r="C28" s="282"/>
      <c r="D28" s="283"/>
      <c r="E28" s="284"/>
      <c r="F28" s="284"/>
      <c r="H28" s="312"/>
      <c r="I28" s="295"/>
      <c r="J28" s="295"/>
      <c r="K28" s="295"/>
      <c r="L28" s="295"/>
      <c r="M28" s="295"/>
      <c r="N28" s="295"/>
    </row>
  </sheetData>
  <pageMargins left="0.70866141732283472" right="0.70866141732283472" top="0.74803149606299213" bottom="0.74803149606299213" header="0.31496062992125984" footer="0.31496062992125984"/>
  <pageSetup paperSize="9" orientation="portrait" r:id="rId1"/>
  <headerFooter>
    <oddHeader>&amp;CProjekt Dolenje in Gorenje Ponikve:
Kanalizacija, rekonstrukcija vodovoda in pločnik med naseljema</oddHeader>
    <oddFooter>&amp;R&amp;P/&amp;N</oddFooter>
  </headerFooter>
  <colBreaks count="1" manualBreakCount="1">
    <brk id="6" max="24" man="1"/>
  </colBreaks>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V133"/>
  <sheetViews>
    <sheetView view="pageBreakPreview" topLeftCell="A109" zoomScale="140" zoomScaleNormal="150" zoomScaleSheetLayoutView="140" workbookViewId="0">
      <selection activeCell="B127" sqref="B127"/>
    </sheetView>
  </sheetViews>
  <sheetFormatPr defaultColWidth="9" defaultRowHeight="12.75"/>
  <cols>
    <col min="1" max="1" width="7.42578125" style="395" bestFit="1" customWidth="1"/>
    <col min="2" max="2" width="41.42578125" style="396" customWidth="1"/>
    <col min="3" max="3" width="8.7109375" style="394" customWidth="1"/>
    <col min="4" max="4" width="6.140625" style="394" customWidth="1"/>
    <col min="5" max="5" width="12.28515625" style="394" customWidth="1"/>
    <col min="6" max="6" width="15.42578125" style="428" customWidth="1"/>
    <col min="7" max="7" width="10.140625" style="394" customWidth="1"/>
    <col min="8" max="8" width="2" style="394" bestFit="1" customWidth="1"/>
    <col min="9" max="9" width="19.5703125" style="394" customWidth="1"/>
    <col min="10" max="10" width="4.85546875" style="394" customWidth="1"/>
    <col min="11" max="11" width="9.85546875" style="394" customWidth="1"/>
    <col min="12" max="12" width="12" style="394" customWidth="1"/>
    <col min="13" max="256" width="9" style="394"/>
    <col min="257" max="257" width="7.42578125" style="394" bestFit="1" customWidth="1"/>
    <col min="258" max="258" width="37.42578125" style="394" customWidth="1"/>
    <col min="259" max="259" width="14.140625" style="394" customWidth="1"/>
    <col min="260" max="260" width="6.140625" style="394" customWidth="1"/>
    <col min="261" max="261" width="12.28515625" style="394" customWidth="1"/>
    <col min="262" max="262" width="15.42578125" style="394" customWidth="1"/>
    <col min="263" max="263" width="10.140625" style="394" customWidth="1"/>
    <col min="264" max="264" width="2" style="394" bestFit="1" customWidth="1"/>
    <col min="265" max="265" width="39.42578125" style="394" customWidth="1"/>
    <col min="266" max="512" width="9" style="394"/>
    <col min="513" max="513" width="7.42578125" style="394" bestFit="1" customWidth="1"/>
    <col min="514" max="514" width="37.42578125" style="394" customWidth="1"/>
    <col min="515" max="515" width="14.140625" style="394" customWidth="1"/>
    <col min="516" max="516" width="6.140625" style="394" customWidth="1"/>
    <col min="517" max="517" width="12.28515625" style="394" customWidth="1"/>
    <col min="518" max="518" width="15.42578125" style="394" customWidth="1"/>
    <col min="519" max="519" width="10.140625" style="394" customWidth="1"/>
    <col min="520" max="520" width="2" style="394" bestFit="1" customWidth="1"/>
    <col min="521" max="521" width="39.42578125" style="394" customWidth="1"/>
    <col min="522" max="768" width="9" style="394"/>
    <col min="769" max="769" width="7.42578125" style="394" bestFit="1" customWidth="1"/>
    <col min="770" max="770" width="37.42578125" style="394" customWidth="1"/>
    <col min="771" max="771" width="14.140625" style="394" customWidth="1"/>
    <col min="772" max="772" width="6.140625" style="394" customWidth="1"/>
    <col min="773" max="773" width="12.28515625" style="394" customWidth="1"/>
    <col min="774" max="774" width="15.42578125" style="394" customWidth="1"/>
    <col min="775" max="775" width="10.140625" style="394" customWidth="1"/>
    <col min="776" max="776" width="2" style="394" bestFit="1" customWidth="1"/>
    <col min="777" max="777" width="39.42578125" style="394" customWidth="1"/>
    <col min="778" max="1024" width="9" style="394"/>
    <col min="1025" max="1025" width="7.42578125" style="394" bestFit="1" customWidth="1"/>
    <col min="1026" max="1026" width="37.42578125" style="394" customWidth="1"/>
    <col min="1027" max="1027" width="14.140625" style="394" customWidth="1"/>
    <col min="1028" max="1028" width="6.140625" style="394" customWidth="1"/>
    <col min="1029" max="1029" width="12.28515625" style="394" customWidth="1"/>
    <col min="1030" max="1030" width="15.42578125" style="394" customWidth="1"/>
    <col min="1031" max="1031" width="10.140625" style="394" customWidth="1"/>
    <col min="1032" max="1032" width="2" style="394" bestFit="1" customWidth="1"/>
    <col min="1033" max="1033" width="39.42578125" style="394" customWidth="1"/>
    <col min="1034" max="1280" width="9" style="394"/>
    <col min="1281" max="1281" width="7.42578125" style="394" bestFit="1" customWidth="1"/>
    <col min="1282" max="1282" width="37.42578125" style="394" customWidth="1"/>
    <col min="1283" max="1283" width="14.140625" style="394" customWidth="1"/>
    <col min="1284" max="1284" width="6.140625" style="394" customWidth="1"/>
    <col min="1285" max="1285" width="12.28515625" style="394" customWidth="1"/>
    <col min="1286" max="1286" width="15.42578125" style="394" customWidth="1"/>
    <col min="1287" max="1287" width="10.140625" style="394" customWidth="1"/>
    <col min="1288" max="1288" width="2" style="394" bestFit="1" customWidth="1"/>
    <col min="1289" max="1289" width="39.42578125" style="394" customWidth="1"/>
    <col min="1290" max="1536" width="9" style="394"/>
    <col min="1537" max="1537" width="7.42578125" style="394" bestFit="1" customWidth="1"/>
    <col min="1538" max="1538" width="37.42578125" style="394" customWidth="1"/>
    <col min="1539" max="1539" width="14.140625" style="394" customWidth="1"/>
    <col min="1540" max="1540" width="6.140625" style="394" customWidth="1"/>
    <col min="1541" max="1541" width="12.28515625" style="394" customWidth="1"/>
    <col min="1542" max="1542" width="15.42578125" style="394" customWidth="1"/>
    <col min="1543" max="1543" width="10.140625" style="394" customWidth="1"/>
    <col min="1544" max="1544" width="2" style="394" bestFit="1" customWidth="1"/>
    <col min="1545" max="1545" width="39.42578125" style="394" customWidth="1"/>
    <col min="1546" max="1792" width="9" style="394"/>
    <col min="1793" max="1793" width="7.42578125" style="394" bestFit="1" customWidth="1"/>
    <col min="1794" max="1794" width="37.42578125" style="394" customWidth="1"/>
    <col min="1795" max="1795" width="14.140625" style="394" customWidth="1"/>
    <col min="1796" max="1796" width="6.140625" style="394" customWidth="1"/>
    <col min="1797" max="1797" width="12.28515625" style="394" customWidth="1"/>
    <col min="1798" max="1798" width="15.42578125" style="394" customWidth="1"/>
    <col min="1799" max="1799" width="10.140625" style="394" customWidth="1"/>
    <col min="1800" max="1800" width="2" style="394" bestFit="1" customWidth="1"/>
    <col min="1801" max="1801" width="39.42578125" style="394" customWidth="1"/>
    <col min="1802" max="2048" width="9" style="394"/>
    <col min="2049" max="2049" width="7.42578125" style="394" bestFit="1" customWidth="1"/>
    <col min="2050" max="2050" width="37.42578125" style="394" customWidth="1"/>
    <col min="2051" max="2051" width="14.140625" style="394" customWidth="1"/>
    <col min="2052" max="2052" width="6.140625" style="394" customWidth="1"/>
    <col min="2053" max="2053" width="12.28515625" style="394" customWidth="1"/>
    <col min="2054" max="2054" width="15.42578125" style="394" customWidth="1"/>
    <col min="2055" max="2055" width="10.140625" style="394" customWidth="1"/>
    <col min="2056" max="2056" width="2" style="394" bestFit="1" customWidth="1"/>
    <col min="2057" max="2057" width="39.42578125" style="394" customWidth="1"/>
    <col min="2058" max="2304" width="9" style="394"/>
    <col min="2305" max="2305" width="7.42578125" style="394" bestFit="1" customWidth="1"/>
    <col min="2306" max="2306" width="37.42578125" style="394" customWidth="1"/>
    <col min="2307" max="2307" width="14.140625" style="394" customWidth="1"/>
    <col min="2308" max="2308" width="6.140625" style="394" customWidth="1"/>
    <col min="2309" max="2309" width="12.28515625" style="394" customWidth="1"/>
    <col min="2310" max="2310" width="15.42578125" style="394" customWidth="1"/>
    <col min="2311" max="2311" width="10.140625" style="394" customWidth="1"/>
    <col min="2312" max="2312" width="2" style="394" bestFit="1" customWidth="1"/>
    <col min="2313" max="2313" width="39.42578125" style="394" customWidth="1"/>
    <col min="2314" max="2560" width="9" style="394"/>
    <col min="2561" max="2561" width="7.42578125" style="394" bestFit="1" customWidth="1"/>
    <col min="2562" max="2562" width="37.42578125" style="394" customWidth="1"/>
    <col min="2563" max="2563" width="14.140625" style="394" customWidth="1"/>
    <col min="2564" max="2564" width="6.140625" style="394" customWidth="1"/>
    <col min="2565" max="2565" width="12.28515625" style="394" customWidth="1"/>
    <col min="2566" max="2566" width="15.42578125" style="394" customWidth="1"/>
    <col min="2567" max="2567" width="10.140625" style="394" customWidth="1"/>
    <col min="2568" max="2568" width="2" style="394" bestFit="1" customWidth="1"/>
    <col min="2569" max="2569" width="39.42578125" style="394" customWidth="1"/>
    <col min="2570" max="2816" width="9" style="394"/>
    <col min="2817" max="2817" width="7.42578125" style="394" bestFit="1" customWidth="1"/>
    <col min="2818" max="2818" width="37.42578125" style="394" customWidth="1"/>
    <col min="2819" max="2819" width="14.140625" style="394" customWidth="1"/>
    <col min="2820" max="2820" width="6.140625" style="394" customWidth="1"/>
    <col min="2821" max="2821" width="12.28515625" style="394" customWidth="1"/>
    <col min="2822" max="2822" width="15.42578125" style="394" customWidth="1"/>
    <col min="2823" max="2823" width="10.140625" style="394" customWidth="1"/>
    <col min="2824" max="2824" width="2" style="394" bestFit="1" customWidth="1"/>
    <col min="2825" max="2825" width="39.42578125" style="394" customWidth="1"/>
    <col min="2826" max="3072" width="9" style="394"/>
    <col min="3073" max="3073" width="7.42578125" style="394" bestFit="1" customWidth="1"/>
    <col min="3074" max="3074" width="37.42578125" style="394" customWidth="1"/>
    <col min="3075" max="3075" width="14.140625" style="394" customWidth="1"/>
    <col min="3076" max="3076" width="6.140625" style="394" customWidth="1"/>
    <col min="3077" max="3077" width="12.28515625" style="394" customWidth="1"/>
    <col min="3078" max="3078" width="15.42578125" style="394" customWidth="1"/>
    <col min="3079" max="3079" width="10.140625" style="394" customWidth="1"/>
    <col min="3080" max="3080" width="2" style="394" bestFit="1" customWidth="1"/>
    <col min="3081" max="3081" width="39.42578125" style="394" customWidth="1"/>
    <col min="3082" max="3328" width="9" style="394"/>
    <col min="3329" max="3329" width="7.42578125" style="394" bestFit="1" customWidth="1"/>
    <col min="3330" max="3330" width="37.42578125" style="394" customWidth="1"/>
    <col min="3331" max="3331" width="14.140625" style="394" customWidth="1"/>
    <col min="3332" max="3332" width="6.140625" style="394" customWidth="1"/>
    <col min="3333" max="3333" width="12.28515625" style="394" customWidth="1"/>
    <col min="3334" max="3334" width="15.42578125" style="394" customWidth="1"/>
    <col min="3335" max="3335" width="10.140625" style="394" customWidth="1"/>
    <col min="3336" max="3336" width="2" style="394" bestFit="1" customWidth="1"/>
    <col min="3337" max="3337" width="39.42578125" style="394" customWidth="1"/>
    <col min="3338" max="3584" width="9" style="394"/>
    <col min="3585" max="3585" width="7.42578125" style="394" bestFit="1" customWidth="1"/>
    <col min="3586" max="3586" width="37.42578125" style="394" customWidth="1"/>
    <col min="3587" max="3587" width="14.140625" style="394" customWidth="1"/>
    <col min="3588" max="3588" width="6.140625" style="394" customWidth="1"/>
    <col min="3589" max="3589" width="12.28515625" style="394" customWidth="1"/>
    <col min="3590" max="3590" width="15.42578125" style="394" customWidth="1"/>
    <col min="3591" max="3591" width="10.140625" style="394" customWidth="1"/>
    <col min="3592" max="3592" width="2" style="394" bestFit="1" customWidth="1"/>
    <col min="3593" max="3593" width="39.42578125" style="394" customWidth="1"/>
    <col min="3594" max="3840" width="9" style="394"/>
    <col min="3841" max="3841" width="7.42578125" style="394" bestFit="1" customWidth="1"/>
    <col min="3842" max="3842" width="37.42578125" style="394" customWidth="1"/>
    <col min="3843" max="3843" width="14.140625" style="394" customWidth="1"/>
    <col min="3844" max="3844" width="6.140625" style="394" customWidth="1"/>
    <col min="3845" max="3845" width="12.28515625" style="394" customWidth="1"/>
    <col min="3846" max="3846" width="15.42578125" style="394" customWidth="1"/>
    <col min="3847" max="3847" width="10.140625" style="394" customWidth="1"/>
    <col min="3848" max="3848" width="2" style="394" bestFit="1" customWidth="1"/>
    <col min="3849" max="3849" width="39.42578125" style="394" customWidth="1"/>
    <col min="3850" max="4096" width="9" style="394"/>
    <col min="4097" max="4097" width="7.42578125" style="394" bestFit="1" customWidth="1"/>
    <col min="4098" max="4098" width="37.42578125" style="394" customWidth="1"/>
    <col min="4099" max="4099" width="14.140625" style="394" customWidth="1"/>
    <col min="4100" max="4100" width="6.140625" style="394" customWidth="1"/>
    <col min="4101" max="4101" width="12.28515625" style="394" customWidth="1"/>
    <col min="4102" max="4102" width="15.42578125" style="394" customWidth="1"/>
    <col min="4103" max="4103" width="10.140625" style="394" customWidth="1"/>
    <col min="4104" max="4104" width="2" style="394" bestFit="1" customWidth="1"/>
    <col min="4105" max="4105" width="39.42578125" style="394" customWidth="1"/>
    <col min="4106" max="4352" width="9" style="394"/>
    <col min="4353" max="4353" width="7.42578125" style="394" bestFit="1" customWidth="1"/>
    <col min="4354" max="4354" width="37.42578125" style="394" customWidth="1"/>
    <col min="4355" max="4355" width="14.140625" style="394" customWidth="1"/>
    <col min="4356" max="4356" width="6.140625" style="394" customWidth="1"/>
    <col min="4357" max="4357" width="12.28515625" style="394" customWidth="1"/>
    <col min="4358" max="4358" width="15.42578125" style="394" customWidth="1"/>
    <col min="4359" max="4359" width="10.140625" style="394" customWidth="1"/>
    <col min="4360" max="4360" width="2" style="394" bestFit="1" customWidth="1"/>
    <col min="4361" max="4361" width="39.42578125" style="394" customWidth="1"/>
    <col min="4362" max="4608" width="9" style="394"/>
    <col min="4609" max="4609" width="7.42578125" style="394" bestFit="1" customWidth="1"/>
    <col min="4610" max="4610" width="37.42578125" style="394" customWidth="1"/>
    <col min="4611" max="4611" width="14.140625" style="394" customWidth="1"/>
    <col min="4612" max="4612" width="6.140625" style="394" customWidth="1"/>
    <col min="4613" max="4613" width="12.28515625" style="394" customWidth="1"/>
    <col min="4614" max="4614" width="15.42578125" style="394" customWidth="1"/>
    <col min="4615" max="4615" width="10.140625" style="394" customWidth="1"/>
    <col min="4616" max="4616" width="2" style="394" bestFit="1" customWidth="1"/>
    <col min="4617" max="4617" width="39.42578125" style="394" customWidth="1"/>
    <col min="4618" max="4864" width="9" style="394"/>
    <col min="4865" max="4865" width="7.42578125" style="394" bestFit="1" customWidth="1"/>
    <col min="4866" max="4866" width="37.42578125" style="394" customWidth="1"/>
    <col min="4867" max="4867" width="14.140625" style="394" customWidth="1"/>
    <col min="4868" max="4868" width="6.140625" style="394" customWidth="1"/>
    <col min="4869" max="4869" width="12.28515625" style="394" customWidth="1"/>
    <col min="4870" max="4870" width="15.42578125" style="394" customWidth="1"/>
    <col min="4871" max="4871" width="10.140625" style="394" customWidth="1"/>
    <col min="4872" max="4872" width="2" style="394" bestFit="1" customWidth="1"/>
    <col min="4873" max="4873" width="39.42578125" style="394" customWidth="1"/>
    <col min="4874" max="5120" width="9" style="394"/>
    <col min="5121" max="5121" width="7.42578125" style="394" bestFit="1" customWidth="1"/>
    <col min="5122" max="5122" width="37.42578125" style="394" customWidth="1"/>
    <col min="5123" max="5123" width="14.140625" style="394" customWidth="1"/>
    <col min="5124" max="5124" width="6.140625" style="394" customWidth="1"/>
    <col min="5125" max="5125" width="12.28515625" style="394" customWidth="1"/>
    <col min="5126" max="5126" width="15.42578125" style="394" customWidth="1"/>
    <col min="5127" max="5127" width="10.140625" style="394" customWidth="1"/>
    <col min="5128" max="5128" width="2" style="394" bestFit="1" customWidth="1"/>
    <col min="5129" max="5129" width="39.42578125" style="394" customWidth="1"/>
    <col min="5130" max="5376" width="9" style="394"/>
    <col min="5377" max="5377" width="7.42578125" style="394" bestFit="1" customWidth="1"/>
    <col min="5378" max="5378" width="37.42578125" style="394" customWidth="1"/>
    <col min="5379" max="5379" width="14.140625" style="394" customWidth="1"/>
    <col min="5380" max="5380" width="6.140625" style="394" customWidth="1"/>
    <col min="5381" max="5381" width="12.28515625" style="394" customWidth="1"/>
    <col min="5382" max="5382" width="15.42578125" style="394" customWidth="1"/>
    <col min="5383" max="5383" width="10.140625" style="394" customWidth="1"/>
    <col min="5384" max="5384" width="2" style="394" bestFit="1" customWidth="1"/>
    <col min="5385" max="5385" width="39.42578125" style="394" customWidth="1"/>
    <col min="5386" max="5632" width="9" style="394"/>
    <col min="5633" max="5633" width="7.42578125" style="394" bestFit="1" customWidth="1"/>
    <col min="5634" max="5634" width="37.42578125" style="394" customWidth="1"/>
    <col min="5635" max="5635" width="14.140625" style="394" customWidth="1"/>
    <col min="5636" max="5636" width="6.140625" style="394" customWidth="1"/>
    <col min="5637" max="5637" width="12.28515625" style="394" customWidth="1"/>
    <col min="5638" max="5638" width="15.42578125" style="394" customWidth="1"/>
    <col min="5639" max="5639" width="10.140625" style="394" customWidth="1"/>
    <col min="5640" max="5640" width="2" style="394" bestFit="1" customWidth="1"/>
    <col min="5641" max="5641" width="39.42578125" style="394" customWidth="1"/>
    <col min="5642" max="5888" width="9" style="394"/>
    <col min="5889" max="5889" width="7.42578125" style="394" bestFit="1" customWidth="1"/>
    <col min="5890" max="5890" width="37.42578125" style="394" customWidth="1"/>
    <col min="5891" max="5891" width="14.140625" style="394" customWidth="1"/>
    <col min="5892" max="5892" width="6.140625" style="394" customWidth="1"/>
    <col min="5893" max="5893" width="12.28515625" style="394" customWidth="1"/>
    <col min="5894" max="5894" width="15.42578125" style="394" customWidth="1"/>
    <col min="5895" max="5895" width="10.140625" style="394" customWidth="1"/>
    <col min="5896" max="5896" width="2" style="394" bestFit="1" customWidth="1"/>
    <col min="5897" max="5897" width="39.42578125" style="394" customWidth="1"/>
    <col min="5898" max="6144" width="9" style="394"/>
    <col min="6145" max="6145" width="7.42578125" style="394" bestFit="1" customWidth="1"/>
    <col min="6146" max="6146" width="37.42578125" style="394" customWidth="1"/>
    <col min="6147" max="6147" width="14.140625" style="394" customWidth="1"/>
    <col min="6148" max="6148" width="6.140625" style="394" customWidth="1"/>
    <col min="6149" max="6149" width="12.28515625" style="394" customWidth="1"/>
    <col min="6150" max="6150" width="15.42578125" style="394" customWidth="1"/>
    <col min="6151" max="6151" width="10.140625" style="394" customWidth="1"/>
    <col min="6152" max="6152" width="2" style="394" bestFit="1" customWidth="1"/>
    <col min="6153" max="6153" width="39.42578125" style="394" customWidth="1"/>
    <col min="6154" max="6400" width="9" style="394"/>
    <col min="6401" max="6401" width="7.42578125" style="394" bestFit="1" customWidth="1"/>
    <col min="6402" max="6402" width="37.42578125" style="394" customWidth="1"/>
    <col min="6403" max="6403" width="14.140625" style="394" customWidth="1"/>
    <col min="6404" max="6404" width="6.140625" style="394" customWidth="1"/>
    <col min="6405" max="6405" width="12.28515625" style="394" customWidth="1"/>
    <col min="6406" max="6406" width="15.42578125" style="394" customWidth="1"/>
    <col min="6407" max="6407" width="10.140625" style="394" customWidth="1"/>
    <col min="6408" max="6408" width="2" style="394" bestFit="1" customWidth="1"/>
    <col min="6409" max="6409" width="39.42578125" style="394" customWidth="1"/>
    <col min="6410" max="6656" width="9" style="394"/>
    <col min="6657" max="6657" width="7.42578125" style="394" bestFit="1" customWidth="1"/>
    <col min="6658" max="6658" width="37.42578125" style="394" customWidth="1"/>
    <col min="6659" max="6659" width="14.140625" style="394" customWidth="1"/>
    <col min="6660" max="6660" width="6.140625" style="394" customWidth="1"/>
    <col min="6661" max="6661" width="12.28515625" style="394" customWidth="1"/>
    <col min="6662" max="6662" width="15.42578125" style="394" customWidth="1"/>
    <col min="6663" max="6663" width="10.140625" style="394" customWidth="1"/>
    <col min="6664" max="6664" width="2" style="394" bestFit="1" customWidth="1"/>
    <col min="6665" max="6665" width="39.42578125" style="394" customWidth="1"/>
    <col min="6666" max="6912" width="9" style="394"/>
    <col min="6913" max="6913" width="7.42578125" style="394" bestFit="1" customWidth="1"/>
    <col min="6914" max="6914" width="37.42578125" style="394" customWidth="1"/>
    <col min="6915" max="6915" width="14.140625" style="394" customWidth="1"/>
    <col min="6916" max="6916" width="6.140625" style="394" customWidth="1"/>
    <col min="6917" max="6917" width="12.28515625" style="394" customWidth="1"/>
    <col min="6918" max="6918" width="15.42578125" style="394" customWidth="1"/>
    <col min="6919" max="6919" width="10.140625" style="394" customWidth="1"/>
    <col min="6920" max="6920" width="2" style="394" bestFit="1" customWidth="1"/>
    <col min="6921" max="6921" width="39.42578125" style="394" customWidth="1"/>
    <col min="6922" max="7168" width="9" style="394"/>
    <col min="7169" max="7169" width="7.42578125" style="394" bestFit="1" customWidth="1"/>
    <col min="7170" max="7170" width="37.42578125" style="394" customWidth="1"/>
    <col min="7171" max="7171" width="14.140625" style="394" customWidth="1"/>
    <col min="7172" max="7172" width="6.140625" style="394" customWidth="1"/>
    <col min="7173" max="7173" width="12.28515625" style="394" customWidth="1"/>
    <col min="7174" max="7174" width="15.42578125" style="394" customWidth="1"/>
    <col min="7175" max="7175" width="10.140625" style="394" customWidth="1"/>
    <col min="7176" max="7176" width="2" style="394" bestFit="1" customWidth="1"/>
    <col min="7177" max="7177" width="39.42578125" style="394" customWidth="1"/>
    <col min="7178" max="7424" width="9" style="394"/>
    <col min="7425" max="7425" width="7.42578125" style="394" bestFit="1" customWidth="1"/>
    <col min="7426" max="7426" width="37.42578125" style="394" customWidth="1"/>
    <col min="7427" max="7427" width="14.140625" style="394" customWidth="1"/>
    <col min="7428" max="7428" width="6.140625" style="394" customWidth="1"/>
    <col min="7429" max="7429" width="12.28515625" style="394" customWidth="1"/>
    <col min="7430" max="7430" width="15.42578125" style="394" customWidth="1"/>
    <col min="7431" max="7431" width="10.140625" style="394" customWidth="1"/>
    <col min="7432" max="7432" width="2" style="394" bestFit="1" customWidth="1"/>
    <col min="7433" max="7433" width="39.42578125" style="394" customWidth="1"/>
    <col min="7434" max="7680" width="9" style="394"/>
    <col min="7681" max="7681" width="7.42578125" style="394" bestFit="1" customWidth="1"/>
    <col min="7682" max="7682" width="37.42578125" style="394" customWidth="1"/>
    <col min="7683" max="7683" width="14.140625" style="394" customWidth="1"/>
    <col min="7684" max="7684" width="6.140625" style="394" customWidth="1"/>
    <col min="7685" max="7685" width="12.28515625" style="394" customWidth="1"/>
    <col min="7686" max="7686" width="15.42578125" style="394" customWidth="1"/>
    <col min="7687" max="7687" width="10.140625" style="394" customWidth="1"/>
    <col min="7688" max="7688" width="2" style="394" bestFit="1" customWidth="1"/>
    <col min="7689" max="7689" width="39.42578125" style="394" customWidth="1"/>
    <col min="7690" max="7936" width="9" style="394"/>
    <col min="7937" max="7937" width="7.42578125" style="394" bestFit="1" customWidth="1"/>
    <col min="7938" max="7938" width="37.42578125" style="394" customWidth="1"/>
    <col min="7939" max="7939" width="14.140625" style="394" customWidth="1"/>
    <col min="7940" max="7940" width="6.140625" style="394" customWidth="1"/>
    <col min="7941" max="7941" width="12.28515625" style="394" customWidth="1"/>
    <col min="7942" max="7942" width="15.42578125" style="394" customWidth="1"/>
    <col min="7943" max="7943" width="10.140625" style="394" customWidth="1"/>
    <col min="7944" max="7944" width="2" style="394" bestFit="1" customWidth="1"/>
    <col min="7945" max="7945" width="39.42578125" style="394" customWidth="1"/>
    <col min="7946" max="8192" width="9" style="394"/>
    <col min="8193" max="8193" width="7.42578125" style="394" bestFit="1" customWidth="1"/>
    <col min="8194" max="8194" width="37.42578125" style="394" customWidth="1"/>
    <col min="8195" max="8195" width="14.140625" style="394" customWidth="1"/>
    <col min="8196" max="8196" width="6.140625" style="394" customWidth="1"/>
    <col min="8197" max="8197" width="12.28515625" style="394" customWidth="1"/>
    <col min="8198" max="8198" width="15.42578125" style="394" customWidth="1"/>
    <col min="8199" max="8199" width="10.140625" style="394" customWidth="1"/>
    <col min="8200" max="8200" width="2" style="394" bestFit="1" customWidth="1"/>
    <col min="8201" max="8201" width="39.42578125" style="394" customWidth="1"/>
    <col min="8202" max="8448" width="9" style="394"/>
    <col min="8449" max="8449" width="7.42578125" style="394" bestFit="1" customWidth="1"/>
    <col min="8450" max="8450" width="37.42578125" style="394" customWidth="1"/>
    <col min="8451" max="8451" width="14.140625" style="394" customWidth="1"/>
    <col min="8452" max="8452" width="6.140625" style="394" customWidth="1"/>
    <col min="8453" max="8453" width="12.28515625" style="394" customWidth="1"/>
    <col min="8454" max="8454" width="15.42578125" style="394" customWidth="1"/>
    <col min="8455" max="8455" width="10.140625" style="394" customWidth="1"/>
    <col min="8456" max="8456" width="2" style="394" bestFit="1" customWidth="1"/>
    <col min="8457" max="8457" width="39.42578125" style="394" customWidth="1"/>
    <col min="8458" max="8704" width="9" style="394"/>
    <col min="8705" max="8705" width="7.42578125" style="394" bestFit="1" customWidth="1"/>
    <col min="8706" max="8706" width="37.42578125" style="394" customWidth="1"/>
    <col min="8707" max="8707" width="14.140625" style="394" customWidth="1"/>
    <col min="8708" max="8708" width="6.140625" style="394" customWidth="1"/>
    <col min="8709" max="8709" width="12.28515625" style="394" customWidth="1"/>
    <col min="8710" max="8710" width="15.42578125" style="394" customWidth="1"/>
    <col min="8711" max="8711" width="10.140625" style="394" customWidth="1"/>
    <col min="8712" max="8712" width="2" style="394" bestFit="1" customWidth="1"/>
    <col min="8713" max="8713" width="39.42578125" style="394" customWidth="1"/>
    <col min="8714" max="8960" width="9" style="394"/>
    <col min="8961" max="8961" width="7.42578125" style="394" bestFit="1" customWidth="1"/>
    <col min="8962" max="8962" width="37.42578125" style="394" customWidth="1"/>
    <col min="8963" max="8963" width="14.140625" style="394" customWidth="1"/>
    <col min="8964" max="8964" width="6.140625" style="394" customWidth="1"/>
    <col min="8965" max="8965" width="12.28515625" style="394" customWidth="1"/>
    <col min="8966" max="8966" width="15.42578125" style="394" customWidth="1"/>
    <col min="8967" max="8967" width="10.140625" style="394" customWidth="1"/>
    <col min="8968" max="8968" width="2" style="394" bestFit="1" customWidth="1"/>
    <col min="8969" max="8969" width="39.42578125" style="394" customWidth="1"/>
    <col min="8970" max="9216" width="9" style="394"/>
    <col min="9217" max="9217" width="7.42578125" style="394" bestFit="1" customWidth="1"/>
    <col min="9218" max="9218" width="37.42578125" style="394" customWidth="1"/>
    <col min="9219" max="9219" width="14.140625" style="394" customWidth="1"/>
    <col min="9220" max="9220" width="6.140625" style="394" customWidth="1"/>
    <col min="9221" max="9221" width="12.28515625" style="394" customWidth="1"/>
    <col min="9222" max="9222" width="15.42578125" style="394" customWidth="1"/>
    <col min="9223" max="9223" width="10.140625" style="394" customWidth="1"/>
    <col min="9224" max="9224" width="2" style="394" bestFit="1" customWidth="1"/>
    <col min="9225" max="9225" width="39.42578125" style="394" customWidth="1"/>
    <col min="9226" max="9472" width="9" style="394"/>
    <col min="9473" max="9473" width="7.42578125" style="394" bestFit="1" customWidth="1"/>
    <col min="9474" max="9474" width="37.42578125" style="394" customWidth="1"/>
    <col min="9475" max="9475" width="14.140625" style="394" customWidth="1"/>
    <col min="9476" max="9476" width="6.140625" style="394" customWidth="1"/>
    <col min="9477" max="9477" width="12.28515625" style="394" customWidth="1"/>
    <col min="9478" max="9478" width="15.42578125" style="394" customWidth="1"/>
    <col min="9479" max="9479" width="10.140625" style="394" customWidth="1"/>
    <col min="9480" max="9480" width="2" style="394" bestFit="1" customWidth="1"/>
    <col min="9481" max="9481" width="39.42578125" style="394" customWidth="1"/>
    <col min="9482" max="9728" width="9" style="394"/>
    <col min="9729" max="9729" width="7.42578125" style="394" bestFit="1" customWidth="1"/>
    <col min="9730" max="9730" width="37.42578125" style="394" customWidth="1"/>
    <col min="9731" max="9731" width="14.140625" style="394" customWidth="1"/>
    <col min="9732" max="9732" width="6.140625" style="394" customWidth="1"/>
    <col min="9733" max="9733" width="12.28515625" style="394" customWidth="1"/>
    <col min="9734" max="9734" width="15.42578125" style="394" customWidth="1"/>
    <col min="9735" max="9735" width="10.140625" style="394" customWidth="1"/>
    <col min="9736" max="9736" width="2" style="394" bestFit="1" customWidth="1"/>
    <col min="9737" max="9737" width="39.42578125" style="394" customWidth="1"/>
    <col min="9738" max="9984" width="9" style="394"/>
    <col min="9985" max="9985" width="7.42578125" style="394" bestFit="1" customWidth="1"/>
    <col min="9986" max="9986" width="37.42578125" style="394" customWidth="1"/>
    <col min="9987" max="9987" width="14.140625" style="394" customWidth="1"/>
    <col min="9988" max="9988" width="6.140625" style="394" customWidth="1"/>
    <col min="9989" max="9989" width="12.28515625" style="394" customWidth="1"/>
    <col min="9990" max="9990" width="15.42578125" style="394" customWidth="1"/>
    <col min="9991" max="9991" width="10.140625" style="394" customWidth="1"/>
    <col min="9992" max="9992" width="2" style="394" bestFit="1" customWidth="1"/>
    <col min="9993" max="9993" width="39.42578125" style="394" customWidth="1"/>
    <col min="9994" max="10240" width="9" style="394"/>
    <col min="10241" max="10241" width="7.42578125" style="394" bestFit="1" customWidth="1"/>
    <col min="10242" max="10242" width="37.42578125" style="394" customWidth="1"/>
    <col min="10243" max="10243" width="14.140625" style="394" customWidth="1"/>
    <col min="10244" max="10244" width="6.140625" style="394" customWidth="1"/>
    <col min="10245" max="10245" width="12.28515625" style="394" customWidth="1"/>
    <col min="10246" max="10246" width="15.42578125" style="394" customWidth="1"/>
    <col min="10247" max="10247" width="10.140625" style="394" customWidth="1"/>
    <col min="10248" max="10248" width="2" style="394" bestFit="1" customWidth="1"/>
    <col min="10249" max="10249" width="39.42578125" style="394" customWidth="1"/>
    <col min="10250" max="10496" width="9" style="394"/>
    <col min="10497" max="10497" width="7.42578125" style="394" bestFit="1" customWidth="1"/>
    <col min="10498" max="10498" width="37.42578125" style="394" customWidth="1"/>
    <col min="10499" max="10499" width="14.140625" style="394" customWidth="1"/>
    <col min="10500" max="10500" width="6.140625" style="394" customWidth="1"/>
    <col min="10501" max="10501" width="12.28515625" style="394" customWidth="1"/>
    <col min="10502" max="10502" width="15.42578125" style="394" customWidth="1"/>
    <col min="10503" max="10503" width="10.140625" style="394" customWidth="1"/>
    <col min="10504" max="10504" width="2" style="394" bestFit="1" customWidth="1"/>
    <col min="10505" max="10505" width="39.42578125" style="394" customWidth="1"/>
    <col min="10506" max="10752" width="9" style="394"/>
    <col min="10753" max="10753" width="7.42578125" style="394" bestFit="1" customWidth="1"/>
    <col min="10754" max="10754" width="37.42578125" style="394" customWidth="1"/>
    <col min="10755" max="10755" width="14.140625" style="394" customWidth="1"/>
    <col min="10756" max="10756" width="6.140625" style="394" customWidth="1"/>
    <col min="10757" max="10757" width="12.28515625" style="394" customWidth="1"/>
    <col min="10758" max="10758" width="15.42578125" style="394" customWidth="1"/>
    <col min="10759" max="10759" width="10.140625" style="394" customWidth="1"/>
    <col min="10760" max="10760" width="2" style="394" bestFit="1" customWidth="1"/>
    <col min="10761" max="10761" width="39.42578125" style="394" customWidth="1"/>
    <col min="10762" max="11008" width="9" style="394"/>
    <col min="11009" max="11009" width="7.42578125" style="394" bestFit="1" customWidth="1"/>
    <col min="11010" max="11010" width="37.42578125" style="394" customWidth="1"/>
    <col min="11011" max="11011" width="14.140625" style="394" customWidth="1"/>
    <col min="11012" max="11012" width="6.140625" style="394" customWidth="1"/>
    <col min="11013" max="11013" width="12.28515625" style="394" customWidth="1"/>
    <col min="11014" max="11014" width="15.42578125" style="394" customWidth="1"/>
    <col min="11015" max="11015" width="10.140625" style="394" customWidth="1"/>
    <col min="11016" max="11016" width="2" style="394" bestFit="1" customWidth="1"/>
    <col min="11017" max="11017" width="39.42578125" style="394" customWidth="1"/>
    <col min="11018" max="11264" width="9" style="394"/>
    <col min="11265" max="11265" width="7.42578125" style="394" bestFit="1" customWidth="1"/>
    <col min="11266" max="11266" width="37.42578125" style="394" customWidth="1"/>
    <col min="11267" max="11267" width="14.140625" style="394" customWidth="1"/>
    <col min="11268" max="11268" width="6.140625" style="394" customWidth="1"/>
    <col min="11269" max="11269" width="12.28515625" style="394" customWidth="1"/>
    <col min="11270" max="11270" width="15.42578125" style="394" customWidth="1"/>
    <col min="11271" max="11271" width="10.140625" style="394" customWidth="1"/>
    <col min="11272" max="11272" width="2" style="394" bestFit="1" customWidth="1"/>
    <col min="11273" max="11273" width="39.42578125" style="394" customWidth="1"/>
    <col min="11274" max="11520" width="9" style="394"/>
    <col min="11521" max="11521" width="7.42578125" style="394" bestFit="1" customWidth="1"/>
    <col min="11522" max="11522" width="37.42578125" style="394" customWidth="1"/>
    <col min="11523" max="11523" width="14.140625" style="394" customWidth="1"/>
    <col min="11524" max="11524" width="6.140625" style="394" customWidth="1"/>
    <col min="11525" max="11525" width="12.28515625" style="394" customWidth="1"/>
    <col min="11526" max="11526" width="15.42578125" style="394" customWidth="1"/>
    <col min="11527" max="11527" width="10.140625" style="394" customWidth="1"/>
    <col min="11528" max="11528" width="2" style="394" bestFit="1" customWidth="1"/>
    <col min="11529" max="11529" width="39.42578125" style="394" customWidth="1"/>
    <col min="11530" max="11776" width="9" style="394"/>
    <col min="11777" max="11777" width="7.42578125" style="394" bestFit="1" customWidth="1"/>
    <col min="11778" max="11778" width="37.42578125" style="394" customWidth="1"/>
    <col min="11779" max="11779" width="14.140625" style="394" customWidth="1"/>
    <col min="11780" max="11780" width="6.140625" style="394" customWidth="1"/>
    <col min="11781" max="11781" width="12.28515625" style="394" customWidth="1"/>
    <col min="11782" max="11782" width="15.42578125" style="394" customWidth="1"/>
    <col min="11783" max="11783" width="10.140625" style="394" customWidth="1"/>
    <col min="11784" max="11784" width="2" style="394" bestFit="1" customWidth="1"/>
    <col min="11785" max="11785" width="39.42578125" style="394" customWidth="1"/>
    <col min="11786" max="12032" width="9" style="394"/>
    <col min="12033" max="12033" width="7.42578125" style="394" bestFit="1" customWidth="1"/>
    <col min="12034" max="12034" width="37.42578125" style="394" customWidth="1"/>
    <col min="12035" max="12035" width="14.140625" style="394" customWidth="1"/>
    <col min="12036" max="12036" width="6.140625" style="394" customWidth="1"/>
    <col min="12037" max="12037" width="12.28515625" style="394" customWidth="1"/>
    <col min="12038" max="12038" width="15.42578125" style="394" customWidth="1"/>
    <col min="12039" max="12039" width="10.140625" style="394" customWidth="1"/>
    <col min="12040" max="12040" width="2" style="394" bestFit="1" customWidth="1"/>
    <col min="12041" max="12041" width="39.42578125" style="394" customWidth="1"/>
    <col min="12042" max="12288" width="9" style="394"/>
    <col min="12289" max="12289" width="7.42578125" style="394" bestFit="1" customWidth="1"/>
    <col min="12290" max="12290" width="37.42578125" style="394" customWidth="1"/>
    <col min="12291" max="12291" width="14.140625" style="394" customWidth="1"/>
    <col min="12292" max="12292" width="6.140625" style="394" customWidth="1"/>
    <col min="12293" max="12293" width="12.28515625" style="394" customWidth="1"/>
    <col min="12294" max="12294" width="15.42578125" style="394" customWidth="1"/>
    <col min="12295" max="12295" width="10.140625" style="394" customWidth="1"/>
    <col min="12296" max="12296" width="2" style="394" bestFit="1" customWidth="1"/>
    <col min="12297" max="12297" width="39.42578125" style="394" customWidth="1"/>
    <col min="12298" max="12544" width="9" style="394"/>
    <col min="12545" max="12545" width="7.42578125" style="394" bestFit="1" customWidth="1"/>
    <col min="12546" max="12546" width="37.42578125" style="394" customWidth="1"/>
    <col min="12547" max="12547" width="14.140625" style="394" customWidth="1"/>
    <col min="12548" max="12548" width="6.140625" style="394" customWidth="1"/>
    <col min="12549" max="12549" width="12.28515625" style="394" customWidth="1"/>
    <col min="12550" max="12550" width="15.42578125" style="394" customWidth="1"/>
    <col min="12551" max="12551" width="10.140625" style="394" customWidth="1"/>
    <col min="12552" max="12552" width="2" style="394" bestFit="1" customWidth="1"/>
    <col min="12553" max="12553" width="39.42578125" style="394" customWidth="1"/>
    <col min="12554" max="12800" width="9" style="394"/>
    <col min="12801" max="12801" width="7.42578125" style="394" bestFit="1" customWidth="1"/>
    <col min="12802" max="12802" width="37.42578125" style="394" customWidth="1"/>
    <col min="12803" max="12803" width="14.140625" style="394" customWidth="1"/>
    <col min="12804" max="12804" width="6.140625" style="394" customWidth="1"/>
    <col min="12805" max="12805" width="12.28515625" style="394" customWidth="1"/>
    <col min="12806" max="12806" width="15.42578125" style="394" customWidth="1"/>
    <col min="12807" max="12807" width="10.140625" style="394" customWidth="1"/>
    <col min="12808" max="12808" width="2" style="394" bestFit="1" customWidth="1"/>
    <col min="12809" max="12809" width="39.42578125" style="394" customWidth="1"/>
    <col min="12810" max="13056" width="9" style="394"/>
    <col min="13057" max="13057" width="7.42578125" style="394" bestFit="1" customWidth="1"/>
    <col min="13058" max="13058" width="37.42578125" style="394" customWidth="1"/>
    <col min="13059" max="13059" width="14.140625" style="394" customWidth="1"/>
    <col min="13060" max="13060" width="6.140625" style="394" customWidth="1"/>
    <col min="13061" max="13061" width="12.28515625" style="394" customWidth="1"/>
    <col min="13062" max="13062" width="15.42578125" style="394" customWidth="1"/>
    <col min="13063" max="13063" width="10.140625" style="394" customWidth="1"/>
    <col min="13064" max="13064" width="2" style="394" bestFit="1" customWidth="1"/>
    <col min="13065" max="13065" width="39.42578125" style="394" customWidth="1"/>
    <col min="13066" max="13312" width="9" style="394"/>
    <col min="13313" max="13313" width="7.42578125" style="394" bestFit="1" customWidth="1"/>
    <col min="13314" max="13314" width="37.42578125" style="394" customWidth="1"/>
    <col min="13315" max="13315" width="14.140625" style="394" customWidth="1"/>
    <col min="13316" max="13316" width="6.140625" style="394" customWidth="1"/>
    <col min="13317" max="13317" width="12.28515625" style="394" customWidth="1"/>
    <col min="13318" max="13318" width="15.42578125" style="394" customWidth="1"/>
    <col min="13319" max="13319" width="10.140625" style="394" customWidth="1"/>
    <col min="13320" max="13320" width="2" style="394" bestFit="1" customWidth="1"/>
    <col min="13321" max="13321" width="39.42578125" style="394" customWidth="1"/>
    <col min="13322" max="13568" width="9" style="394"/>
    <col min="13569" max="13569" width="7.42578125" style="394" bestFit="1" customWidth="1"/>
    <col min="13570" max="13570" width="37.42578125" style="394" customWidth="1"/>
    <col min="13571" max="13571" width="14.140625" style="394" customWidth="1"/>
    <col min="13572" max="13572" width="6.140625" style="394" customWidth="1"/>
    <col min="13573" max="13573" width="12.28515625" style="394" customWidth="1"/>
    <col min="13574" max="13574" width="15.42578125" style="394" customWidth="1"/>
    <col min="13575" max="13575" width="10.140625" style="394" customWidth="1"/>
    <col min="13576" max="13576" width="2" style="394" bestFit="1" customWidth="1"/>
    <col min="13577" max="13577" width="39.42578125" style="394" customWidth="1"/>
    <col min="13578" max="13824" width="9" style="394"/>
    <col min="13825" max="13825" width="7.42578125" style="394" bestFit="1" customWidth="1"/>
    <col min="13826" max="13826" width="37.42578125" style="394" customWidth="1"/>
    <col min="13827" max="13827" width="14.140625" style="394" customWidth="1"/>
    <col min="13828" max="13828" width="6.140625" style="394" customWidth="1"/>
    <col min="13829" max="13829" width="12.28515625" style="394" customWidth="1"/>
    <col min="13830" max="13830" width="15.42578125" style="394" customWidth="1"/>
    <col min="13831" max="13831" width="10.140625" style="394" customWidth="1"/>
    <col min="13832" max="13832" width="2" style="394" bestFit="1" customWidth="1"/>
    <col min="13833" max="13833" width="39.42578125" style="394" customWidth="1"/>
    <col min="13834" max="14080" width="9" style="394"/>
    <col min="14081" max="14081" width="7.42578125" style="394" bestFit="1" customWidth="1"/>
    <col min="14082" max="14082" width="37.42578125" style="394" customWidth="1"/>
    <col min="14083" max="14083" width="14.140625" style="394" customWidth="1"/>
    <col min="14084" max="14084" width="6.140625" style="394" customWidth="1"/>
    <col min="14085" max="14085" width="12.28515625" style="394" customWidth="1"/>
    <col min="14086" max="14086" width="15.42578125" style="394" customWidth="1"/>
    <col min="14087" max="14087" width="10.140625" style="394" customWidth="1"/>
    <col min="14088" max="14088" width="2" style="394" bestFit="1" customWidth="1"/>
    <col min="14089" max="14089" width="39.42578125" style="394" customWidth="1"/>
    <col min="14090" max="14336" width="9" style="394"/>
    <col min="14337" max="14337" width="7.42578125" style="394" bestFit="1" customWidth="1"/>
    <col min="14338" max="14338" width="37.42578125" style="394" customWidth="1"/>
    <col min="14339" max="14339" width="14.140625" style="394" customWidth="1"/>
    <col min="14340" max="14340" width="6.140625" style="394" customWidth="1"/>
    <col min="14341" max="14341" width="12.28515625" style="394" customWidth="1"/>
    <col min="14342" max="14342" width="15.42578125" style="394" customWidth="1"/>
    <col min="14343" max="14343" width="10.140625" style="394" customWidth="1"/>
    <col min="14344" max="14344" width="2" style="394" bestFit="1" customWidth="1"/>
    <col min="14345" max="14345" width="39.42578125" style="394" customWidth="1"/>
    <col min="14346" max="14592" width="9" style="394"/>
    <col min="14593" max="14593" width="7.42578125" style="394" bestFit="1" customWidth="1"/>
    <col min="14594" max="14594" width="37.42578125" style="394" customWidth="1"/>
    <col min="14595" max="14595" width="14.140625" style="394" customWidth="1"/>
    <col min="14596" max="14596" width="6.140625" style="394" customWidth="1"/>
    <col min="14597" max="14597" width="12.28515625" style="394" customWidth="1"/>
    <col min="14598" max="14598" width="15.42578125" style="394" customWidth="1"/>
    <col min="14599" max="14599" width="10.140625" style="394" customWidth="1"/>
    <col min="14600" max="14600" width="2" style="394" bestFit="1" customWidth="1"/>
    <col min="14601" max="14601" width="39.42578125" style="394" customWidth="1"/>
    <col min="14602" max="14848" width="9" style="394"/>
    <col min="14849" max="14849" width="7.42578125" style="394" bestFit="1" customWidth="1"/>
    <col min="14850" max="14850" width="37.42578125" style="394" customWidth="1"/>
    <col min="14851" max="14851" width="14.140625" style="394" customWidth="1"/>
    <col min="14852" max="14852" width="6.140625" style="394" customWidth="1"/>
    <col min="14853" max="14853" width="12.28515625" style="394" customWidth="1"/>
    <col min="14854" max="14854" width="15.42578125" style="394" customWidth="1"/>
    <col min="14855" max="14855" width="10.140625" style="394" customWidth="1"/>
    <col min="14856" max="14856" width="2" style="394" bestFit="1" customWidth="1"/>
    <col min="14857" max="14857" width="39.42578125" style="394" customWidth="1"/>
    <col min="14858" max="15104" width="9" style="394"/>
    <col min="15105" max="15105" width="7.42578125" style="394" bestFit="1" customWidth="1"/>
    <col min="15106" max="15106" width="37.42578125" style="394" customWidth="1"/>
    <col min="15107" max="15107" width="14.140625" style="394" customWidth="1"/>
    <col min="15108" max="15108" width="6.140625" style="394" customWidth="1"/>
    <col min="15109" max="15109" width="12.28515625" style="394" customWidth="1"/>
    <col min="15110" max="15110" width="15.42578125" style="394" customWidth="1"/>
    <col min="15111" max="15111" width="10.140625" style="394" customWidth="1"/>
    <col min="15112" max="15112" width="2" style="394" bestFit="1" customWidth="1"/>
    <col min="15113" max="15113" width="39.42578125" style="394" customWidth="1"/>
    <col min="15114" max="15360" width="9" style="394"/>
    <col min="15361" max="15361" width="7.42578125" style="394" bestFit="1" customWidth="1"/>
    <col min="15362" max="15362" width="37.42578125" style="394" customWidth="1"/>
    <col min="15363" max="15363" width="14.140625" style="394" customWidth="1"/>
    <col min="15364" max="15364" width="6.140625" style="394" customWidth="1"/>
    <col min="15365" max="15365" width="12.28515625" style="394" customWidth="1"/>
    <col min="15366" max="15366" width="15.42578125" style="394" customWidth="1"/>
    <col min="15367" max="15367" width="10.140625" style="394" customWidth="1"/>
    <col min="15368" max="15368" width="2" style="394" bestFit="1" customWidth="1"/>
    <col min="15369" max="15369" width="39.42578125" style="394" customWidth="1"/>
    <col min="15370" max="15616" width="9" style="394"/>
    <col min="15617" max="15617" width="7.42578125" style="394" bestFit="1" customWidth="1"/>
    <col min="15618" max="15618" width="37.42578125" style="394" customWidth="1"/>
    <col min="15619" max="15619" width="14.140625" style="394" customWidth="1"/>
    <col min="15620" max="15620" width="6.140625" style="394" customWidth="1"/>
    <col min="15621" max="15621" width="12.28515625" style="394" customWidth="1"/>
    <col min="15622" max="15622" width="15.42578125" style="394" customWidth="1"/>
    <col min="15623" max="15623" width="10.140625" style="394" customWidth="1"/>
    <col min="15624" max="15624" width="2" style="394" bestFit="1" customWidth="1"/>
    <col min="15625" max="15625" width="39.42578125" style="394" customWidth="1"/>
    <col min="15626" max="15872" width="9" style="394"/>
    <col min="15873" max="15873" width="7.42578125" style="394" bestFit="1" customWidth="1"/>
    <col min="15874" max="15874" width="37.42578125" style="394" customWidth="1"/>
    <col min="15875" max="15875" width="14.140625" style="394" customWidth="1"/>
    <col min="15876" max="15876" width="6.140625" style="394" customWidth="1"/>
    <col min="15877" max="15877" width="12.28515625" style="394" customWidth="1"/>
    <col min="15878" max="15878" width="15.42578125" style="394" customWidth="1"/>
    <col min="15879" max="15879" width="10.140625" style="394" customWidth="1"/>
    <col min="15880" max="15880" width="2" style="394" bestFit="1" customWidth="1"/>
    <col min="15881" max="15881" width="39.42578125" style="394" customWidth="1"/>
    <col min="15882" max="16128" width="9" style="394"/>
    <col min="16129" max="16129" width="7.42578125" style="394" bestFit="1" customWidth="1"/>
    <col min="16130" max="16130" width="37.42578125" style="394" customWidth="1"/>
    <col min="16131" max="16131" width="14.140625" style="394" customWidth="1"/>
    <col min="16132" max="16132" width="6.140625" style="394" customWidth="1"/>
    <col min="16133" max="16133" width="12.28515625" style="394" customWidth="1"/>
    <col min="16134" max="16134" width="15.42578125" style="394" customWidth="1"/>
    <col min="16135" max="16135" width="10.140625" style="394" customWidth="1"/>
    <col min="16136" max="16136" width="2" style="394" bestFit="1" customWidth="1"/>
    <col min="16137" max="16137" width="39.42578125" style="394" customWidth="1"/>
    <col min="16138" max="16384" width="9" style="394"/>
  </cols>
  <sheetData>
    <row r="1" spans="1:13" s="342" customFormat="1" ht="25.5">
      <c r="A1" s="337"/>
      <c r="B1" s="338" t="s">
        <v>241</v>
      </c>
      <c r="C1" s="339" t="s">
        <v>242</v>
      </c>
      <c r="D1" s="340" t="s">
        <v>243</v>
      </c>
      <c r="E1" s="339" t="s">
        <v>244</v>
      </c>
      <c r="F1" s="341" t="s">
        <v>245</v>
      </c>
    </row>
    <row r="2" spans="1:13" s="346" customFormat="1">
      <c r="A2" s="343"/>
      <c r="B2" s="344"/>
      <c r="C2" s="345"/>
      <c r="E2" s="345"/>
      <c r="F2" s="347"/>
    </row>
    <row r="3" spans="1:13" s="350" customFormat="1">
      <c r="A3" s="348" t="s">
        <v>179</v>
      </c>
      <c r="B3" s="349" t="s">
        <v>178</v>
      </c>
      <c r="F3" s="351"/>
    </row>
    <row r="4" spans="1:13" s="352" customFormat="1">
      <c r="A4" s="343"/>
      <c r="B4" s="349"/>
      <c r="F4" s="353"/>
    </row>
    <row r="5" spans="1:13" s="352" customFormat="1">
      <c r="A5" s="354" t="s">
        <v>246</v>
      </c>
      <c r="B5" s="355" t="s">
        <v>247</v>
      </c>
      <c r="F5" s="353"/>
    </row>
    <row r="6" spans="1:13" s="346" customFormat="1">
      <c r="A6" s="343"/>
      <c r="B6" s="344"/>
      <c r="F6" s="347"/>
    </row>
    <row r="7" spans="1:13" s="346" customFormat="1" ht="25.5">
      <c r="A7" s="343" t="s">
        <v>248</v>
      </c>
      <c r="B7" s="344" t="s">
        <v>249</v>
      </c>
      <c r="F7" s="347"/>
      <c r="J7" s="346" t="s">
        <v>221</v>
      </c>
      <c r="K7" s="346" t="s">
        <v>238</v>
      </c>
      <c r="L7" s="346" t="s">
        <v>239</v>
      </c>
    </row>
    <row r="8" spans="1:13" s="346" customFormat="1">
      <c r="A8" s="343"/>
      <c r="B8" s="344"/>
      <c r="C8" s="454">
        <v>664.27</v>
      </c>
      <c r="D8" s="346" t="s">
        <v>115</v>
      </c>
      <c r="E8" s="356"/>
      <c r="F8" s="357">
        <f>C8*E8</f>
        <v>0</v>
      </c>
      <c r="G8" s="345"/>
      <c r="H8" s="345"/>
      <c r="J8" s="346" t="s">
        <v>305</v>
      </c>
    </row>
    <row r="9" spans="1:13" s="346" customFormat="1">
      <c r="A9" s="343"/>
      <c r="B9" s="344"/>
      <c r="C9" s="358"/>
      <c r="E9" s="356"/>
      <c r="F9" s="357"/>
      <c r="G9" s="345"/>
      <c r="H9" s="345"/>
      <c r="J9" s="346" t="s">
        <v>306</v>
      </c>
      <c r="K9" s="346">
        <v>100</v>
      </c>
      <c r="L9" s="346">
        <v>75.8</v>
      </c>
      <c r="M9" s="346">
        <v>78</v>
      </c>
    </row>
    <row r="10" spans="1:13" s="352" customFormat="1">
      <c r="A10" s="354" t="s">
        <v>246</v>
      </c>
      <c r="B10" s="355" t="s">
        <v>250</v>
      </c>
      <c r="C10" s="359"/>
      <c r="E10" s="360"/>
      <c r="F10" s="361">
        <f>SUM(F7:F9)</f>
        <v>0</v>
      </c>
      <c r="G10" s="345"/>
      <c r="J10" s="352" t="s">
        <v>307</v>
      </c>
    </row>
    <row r="11" spans="1:13" s="352" customFormat="1">
      <c r="A11" s="354"/>
      <c r="B11" s="355"/>
      <c r="C11" s="359"/>
      <c r="E11" s="360"/>
      <c r="F11" s="361"/>
      <c r="G11" s="345"/>
      <c r="J11" s="352" t="s">
        <v>308</v>
      </c>
      <c r="K11" s="352">
        <v>80</v>
      </c>
      <c r="L11" s="352">
        <v>2.83</v>
      </c>
      <c r="M11" s="352">
        <v>6</v>
      </c>
    </row>
    <row r="12" spans="1:13" s="352" customFormat="1">
      <c r="A12" s="354"/>
      <c r="B12" s="355"/>
      <c r="C12" s="455"/>
      <c r="E12" s="360"/>
      <c r="F12" s="361"/>
      <c r="G12" s="345"/>
    </row>
    <row r="13" spans="1:13" s="352" customFormat="1" ht="25.5">
      <c r="A13" s="354" t="s">
        <v>251</v>
      </c>
      <c r="B13" s="355" t="s">
        <v>744</v>
      </c>
      <c r="C13" s="455"/>
      <c r="E13" s="360"/>
      <c r="F13" s="361"/>
      <c r="G13" s="345"/>
    </row>
    <row r="14" spans="1:13" s="352" customFormat="1">
      <c r="A14" s="354"/>
      <c r="B14" s="355"/>
      <c r="C14" s="455"/>
      <c r="E14" s="360"/>
      <c r="F14" s="361"/>
      <c r="G14" s="345"/>
    </row>
    <row r="15" spans="1:13" s="346" customFormat="1">
      <c r="A15" s="364"/>
      <c r="B15" s="344"/>
      <c r="C15" s="456"/>
      <c r="E15" s="356"/>
      <c r="F15" s="357"/>
      <c r="G15" s="345"/>
      <c r="H15" s="345"/>
    </row>
    <row r="16" spans="1:13" s="346" customFormat="1">
      <c r="A16" s="364"/>
      <c r="B16" s="344"/>
      <c r="C16" s="454"/>
      <c r="E16" s="356"/>
      <c r="F16" s="357"/>
      <c r="G16" s="345"/>
      <c r="H16" s="345"/>
    </row>
    <row r="17" spans="1:256" s="346" customFormat="1">
      <c r="A17" s="364"/>
      <c r="B17" s="344"/>
      <c r="C17" s="454"/>
      <c r="E17" s="356"/>
      <c r="F17" s="357"/>
      <c r="G17" s="345"/>
      <c r="H17" s="345"/>
    </row>
    <row r="18" spans="1:256" s="346" customFormat="1" ht="38.25">
      <c r="A18" s="364" t="s">
        <v>253</v>
      </c>
      <c r="B18" s="344" t="s">
        <v>254</v>
      </c>
      <c r="C18" s="454"/>
      <c r="E18" s="356"/>
      <c r="F18" s="357"/>
      <c r="G18" s="345"/>
      <c r="H18" s="345"/>
    </row>
    <row r="19" spans="1:256" s="346" customFormat="1">
      <c r="A19" s="364"/>
      <c r="B19" s="344"/>
      <c r="C19" s="454">
        <f>ROUND(C8/20,0)</f>
        <v>33</v>
      </c>
      <c r="D19" s="346" t="s">
        <v>5</v>
      </c>
      <c r="E19" s="356"/>
      <c r="F19" s="357">
        <f>C19*E19</f>
        <v>0</v>
      </c>
      <c r="G19" s="345"/>
      <c r="H19" s="345"/>
    </row>
    <row r="20" spans="1:256" s="346" customFormat="1">
      <c r="A20" s="364"/>
      <c r="B20" s="344"/>
      <c r="C20" s="454"/>
      <c r="E20" s="356"/>
      <c r="F20" s="357"/>
      <c r="G20" s="345"/>
      <c r="H20" s="345"/>
    </row>
    <row r="21" spans="1:256" s="346" customFormat="1">
      <c r="A21" s="364"/>
      <c r="B21" s="344"/>
      <c r="C21" s="345"/>
      <c r="E21" s="356"/>
      <c r="F21" s="357"/>
      <c r="G21" s="345"/>
      <c r="H21" s="345"/>
    </row>
    <row r="22" spans="1:256" s="352" customFormat="1">
      <c r="A22" s="354" t="s">
        <v>251</v>
      </c>
      <c r="B22" s="355" t="s">
        <v>256</v>
      </c>
      <c r="C22" s="359"/>
      <c r="E22" s="360"/>
      <c r="F22" s="361">
        <f>SUM(F15:F21)</f>
        <v>0</v>
      </c>
      <c r="G22" s="345"/>
    </row>
    <row r="23" spans="1:256" s="374" customFormat="1">
      <c r="A23" s="367"/>
      <c r="B23" s="368"/>
      <c r="C23" s="369"/>
      <c r="D23" s="370"/>
      <c r="E23" s="371"/>
      <c r="F23" s="372"/>
      <c r="G23" s="345"/>
      <c r="H23" s="373"/>
    </row>
    <row r="24" spans="1:256" s="350" customFormat="1">
      <c r="A24" s="348" t="s">
        <v>179</v>
      </c>
      <c r="B24" s="349" t="s">
        <v>257</v>
      </c>
      <c r="C24" s="375"/>
      <c r="E24" s="376"/>
      <c r="F24" s="377">
        <f>F10+F22</f>
        <v>0</v>
      </c>
      <c r="G24" s="345"/>
    </row>
    <row r="25" spans="1:256" s="346" customFormat="1">
      <c r="A25" s="343"/>
      <c r="B25" s="378"/>
      <c r="C25" s="358"/>
      <c r="D25" s="379"/>
      <c r="E25" s="356"/>
      <c r="F25" s="380"/>
      <c r="G25" s="345"/>
      <c r="H25" s="345"/>
    </row>
    <row r="26" spans="1:256" s="350" customFormat="1">
      <c r="A26" s="348" t="s">
        <v>177</v>
      </c>
      <c r="B26" s="349" t="s">
        <v>176</v>
      </c>
      <c r="C26" s="375"/>
      <c r="E26" s="376"/>
      <c r="F26" s="377"/>
      <c r="G26" s="381"/>
    </row>
    <row r="27" spans="1:256" s="389" customFormat="1" ht="11.25">
      <c r="A27" s="382"/>
      <c r="B27" s="383"/>
      <c r="C27" s="384"/>
      <c r="D27" s="385"/>
      <c r="E27" s="386"/>
      <c r="F27" s="387"/>
      <c r="G27" s="381"/>
      <c r="H27" s="388"/>
    </row>
    <row r="28" spans="1:256" s="390" customFormat="1">
      <c r="A28" s="354" t="s">
        <v>258</v>
      </c>
      <c r="B28" s="355" t="s">
        <v>812</v>
      </c>
      <c r="C28" s="359"/>
      <c r="D28" s="352"/>
      <c r="E28" s="360"/>
      <c r="F28" s="361"/>
      <c r="G28" s="381"/>
      <c r="IV28" s="391"/>
    </row>
    <row r="29" spans="1:256" s="390" customFormat="1">
      <c r="A29" s="354"/>
      <c r="B29" s="355"/>
      <c r="C29" s="359"/>
      <c r="D29" s="352"/>
      <c r="E29" s="360"/>
      <c r="F29" s="361"/>
      <c r="G29" s="381"/>
      <c r="J29" s="390" t="s">
        <v>221</v>
      </c>
      <c r="K29" s="390" t="s">
        <v>222</v>
      </c>
      <c r="L29" s="390" t="s">
        <v>223</v>
      </c>
      <c r="M29" s="390" t="s">
        <v>224</v>
      </c>
      <c r="N29" s="390" t="s">
        <v>225</v>
      </c>
      <c r="O29" s="390" t="s">
        <v>226</v>
      </c>
      <c r="P29" s="390" t="s">
        <v>227</v>
      </c>
      <c r="Q29" s="390" t="s">
        <v>228</v>
      </c>
      <c r="R29" s="390" t="s">
        <v>229</v>
      </c>
      <c r="S29" s="390" t="s">
        <v>230</v>
      </c>
      <c r="T29" s="390" t="s">
        <v>231</v>
      </c>
      <c r="U29" s="390" t="s">
        <v>232</v>
      </c>
      <c r="V29" s="390" t="s">
        <v>233</v>
      </c>
      <c r="W29" s="390" t="s">
        <v>234</v>
      </c>
      <c r="X29" s="390" t="s">
        <v>235</v>
      </c>
      <c r="Y29" s="390" t="s">
        <v>236</v>
      </c>
      <c r="Z29" s="390" t="s">
        <v>237</v>
      </c>
      <c r="IV29" s="391"/>
    </row>
    <row r="30" spans="1:256" s="390" customFormat="1" ht="38.25">
      <c r="A30" s="392"/>
      <c r="B30" s="393" t="s">
        <v>260</v>
      </c>
      <c r="C30" s="358"/>
      <c r="D30" s="346"/>
      <c r="E30" s="356"/>
      <c r="F30" s="357"/>
      <c r="G30" s="381"/>
      <c r="J30" s="390" t="s">
        <v>314</v>
      </c>
      <c r="K30" s="430"/>
      <c r="L30" s="430">
        <v>0</v>
      </c>
      <c r="M30" s="430">
        <v>0</v>
      </c>
      <c r="N30" s="430">
        <v>0</v>
      </c>
      <c r="O30" s="430">
        <v>260.8</v>
      </c>
      <c r="P30" s="430">
        <v>244.78</v>
      </c>
      <c r="Q30" s="430">
        <v>16.02</v>
      </c>
      <c r="R30" s="430">
        <v>0</v>
      </c>
      <c r="S30" s="430">
        <v>0</v>
      </c>
      <c r="T30" s="430">
        <v>0</v>
      </c>
      <c r="U30" s="430">
        <v>260.14999999999998</v>
      </c>
      <c r="V30" s="430">
        <v>220.73</v>
      </c>
      <c r="W30" s="430">
        <v>0</v>
      </c>
      <c r="X30" s="430">
        <v>31.94</v>
      </c>
      <c r="Y30" s="430">
        <v>7.48</v>
      </c>
      <c r="Z30" s="430">
        <v>220.73</v>
      </c>
      <c r="IV30" s="391"/>
    </row>
    <row r="31" spans="1:256" s="390" customFormat="1">
      <c r="A31" s="364"/>
      <c r="B31" s="393" t="s">
        <v>261</v>
      </c>
      <c r="C31" s="345">
        <f>(680*10.5+171.46)*0.33*0.5</f>
        <v>1206.3909000000001</v>
      </c>
      <c r="D31" s="346"/>
      <c r="E31" s="356"/>
      <c r="F31" s="357"/>
      <c r="G31" s="381"/>
      <c r="J31" s="390" t="s">
        <v>305</v>
      </c>
      <c r="K31" s="430"/>
      <c r="L31" s="430">
        <v>0</v>
      </c>
      <c r="M31" s="430">
        <v>0</v>
      </c>
      <c r="N31" s="430">
        <v>0</v>
      </c>
      <c r="O31" s="430">
        <v>235.53</v>
      </c>
      <c r="P31" s="430">
        <v>219.5</v>
      </c>
      <c r="Q31" s="430">
        <v>16.02</v>
      </c>
      <c r="R31" s="430">
        <v>0</v>
      </c>
      <c r="S31" s="430">
        <v>0</v>
      </c>
      <c r="T31" s="430">
        <v>0</v>
      </c>
      <c r="U31" s="430">
        <v>234.89</v>
      </c>
      <c r="V31" s="430">
        <v>202.54</v>
      </c>
      <c r="W31" s="430">
        <v>0</v>
      </c>
      <c r="X31" s="430">
        <v>26.25</v>
      </c>
      <c r="Y31" s="430">
        <v>6.1</v>
      </c>
      <c r="Z31" s="430">
        <v>202.54</v>
      </c>
      <c r="IV31" s="391"/>
    </row>
    <row r="32" spans="1:256" s="390" customFormat="1">
      <c r="A32" s="364" t="s">
        <v>262</v>
      </c>
      <c r="B32" s="393" t="s">
        <v>263</v>
      </c>
      <c r="C32" s="345">
        <f>C31*0.8</f>
        <v>965.11272000000008</v>
      </c>
      <c r="D32" s="394" t="s">
        <v>108</v>
      </c>
      <c r="E32" s="356"/>
      <c r="F32" s="357">
        <f>C32*E32</f>
        <v>0</v>
      </c>
      <c r="G32" s="381"/>
      <c r="J32" s="390" t="s">
        <v>307</v>
      </c>
      <c r="K32" s="430"/>
      <c r="L32" s="430">
        <v>0</v>
      </c>
      <c r="M32" s="430">
        <v>0</v>
      </c>
      <c r="N32" s="430">
        <v>0</v>
      </c>
      <c r="O32" s="430">
        <v>0</v>
      </c>
      <c r="P32" s="430">
        <v>0</v>
      </c>
      <c r="Q32" s="430">
        <v>0</v>
      </c>
      <c r="R32" s="430">
        <v>0</v>
      </c>
      <c r="S32" s="430">
        <v>0</v>
      </c>
      <c r="T32" s="430">
        <v>0</v>
      </c>
      <c r="U32" s="430">
        <v>0</v>
      </c>
      <c r="V32" s="430">
        <v>0</v>
      </c>
      <c r="W32" s="430">
        <v>0</v>
      </c>
      <c r="X32" s="430">
        <v>0</v>
      </c>
      <c r="Y32" s="430">
        <v>0</v>
      </c>
      <c r="Z32" s="430">
        <v>0</v>
      </c>
      <c r="IV32" s="391"/>
    </row>
    <row r="33" spans="1:256" s="390" customFormat="1">
      <c r="A33" s="364" t="s">
        <v>264</v>
      </c>
      <c r="B33" s="393" t="s">
        <v>265</v>
      </c>
      <c r="C33" s="345">
        <f>C31*0.2</f>
        <v>241.27818000000002</v>
      </c>
      <c r="D33" s="394" t="s">
        <v>108</v>
      </c>
      <c r="E33" s="356"/>
      <c r="F33" s="357">
        <f>C33*E33</f>
        <v>0</v>
      </c>
      <c r="G33" s="381"/>
      <c r="J33" s="390" t="s">
        <v>309</v>
      </c>
      <c r="K33" s="430"/>
      <c r="L33" s="430">
        <v>0</v>
      </c>
      <c r="M33" s="430">
        <v>0</v>
      </c>
      <c r="N33" s="430">
        <v>0</v>
      </c>
      <c r="O33" s="430">
        <v>6.84</v>
      </c>
      <c r="P33" s="430">
        <v>6.84</v>
      </c>
      <c r="Q33" s="430">
        <v>0</v>
      </c>
      <c r="R33" s="430">
        <v>0</v>
      </c>
      <c r="S33" s="430">
        <v>0</v>
      </c>
      <c r="T33" s="430">
        <v>0</v>
      </c>
      <c r="U33" s="430">
        <v>6.83</v>
      </c>
      <c r="V33" s="430">
        <v>4.8899999999999997</v>
      </c>
      <c r="W33" s="430">
        <v>0</v>
      </c>
      <c r="X33" s="430">
        <v>1.57</v>
      </c>
      <c r="Y33" s="430">
        <v>0.38</v>
      </c>
      <c r="Z33" s="430">
        <v>4.8899999999999997</v>
      </c>
      <c r="IV33" s="391"/>
    </row>
    <row r="34" spans="1:256" s="390" customFormat="1">
      <c r="A34" s="364"/>
      <c r="B34" s="393"/>
      <c r="C34" s="345"/>
      <c r="D34" s="394"/>
      <c r="E34" s="356"/>
      <c r="F34" s="357"/>
      <c r="G34" s="381"/>
      <c r="J34" s="390" t="s">
        <v>310</v>
      </c>
      <c r="K34" s="430"/>
      <c r="L34" s="430">
        <v>0</v>
      </c>
      <c r="M34" s="430">
        <v>0</v>
      </c>
      <c r="N34" s="430">
        <v>0</v>
      </c>
      <c r="O34" s="430">
        <v>4.7</v>
      </c>
      <c r="P34" s="430">
        <v>4.7</v>
      </c>
      <c r="Q34" s="430">
        <v>0</v>
      </c>
      <c r="R34" s="430">
        <v>0</v>
      </c>
      <c r="S34" s="430">
        <v>0</v>
      </c>
      <c r="T34" s="430">
        <v>0</v>
      </c>
      <c r="U34" s="430">
        <v>4.7</v>
      </c>
      <c r="V34" s="430">
        <v>2.95</v>
      </c>
      <c r="W34" s="430">
        <v>0</v>
      </c>
      <c r="X34" s="430">
        <v>1.4</v>
      </c>
      <c r="Y34" s="430">
        <v>0.34</v>
      </c>
      <c r="Z34" s="430">
        <v>2.95</v>
      </c>
      <c r="IV34" s="391"/>
    </row>
    <row r="35" spans="1:256" s="390" customFormat="1" ht="6" customHeight="1">
      <c r="A35" s="364"/>
      <c r="B35" s="393"/>
      <c r="C35" s="345"/>
      <c r="D35" s="394"/>
      <c r="E35" s="356"/>
      <c r="F35" s="357"/>
      <c r="G35" s="381"/>
      <c r="J35" s="390" t="s">
        <v>311</v>
      </c>
      <c r="K35" s="430"/>
      <c r="L35" s="430">
        <v>0</v>
      </c>
      <c r="M35" s="430">
        <v>0</v>
      </c>
      <c r="N35" s="430">
        <v>0</v>
      </c>
      <c r="O35" s="430">
        <v>7.62</v>
      </c>
      <c r="P35" s="430">
        <v>7.62</v>
      </c>
      <c r="Q35" s="430">
        <v>0</v>
      </c>
      <c r="R35" s="430">
        <v>0</v>
      </c>
      <c r="S35" s="430">
        <v>0</v>
      </c>
      <c r="T35" s="430">
        <v>0</v>
      </c>
      <c r="U35" s="430">
        <v>7.62</v>
      </c>
      <c r="V35" s="430">
        <v>5.66</v>
      </c>
      <c r="W35" s="430">
        <v>0</v>
      </c>
      <c r="X35" s="430">
        <v>1.58</v>
      </c>
      <c r="Y35" s="430">
        <v>0.38</v>
      </c>
      <c r="Z35" s="430">
        <v>5.66</v>
      </c>
      <c r="IV35" s="391"/>
    </row>
    <row r="36" spans="1:256" s="390" customFormat="1">
      <c r="A36" s="392"/>
      <c r="B36" s="393"/>
      <c r="C36" s="358"/>
      <c r="D36" s="346"/>
      <c r="E36" s="356"/>
      <c r="F36" s="357"/>
      <c r="G36" s="381"/>
      <c r="J36" s="390" t="s">
        <v>312</v>
      </c>
      <c r="K36" s="430"/>
      <c r="L36" s="430">
        <v>0</v>
      </c>
      <c r="M36" s="430">
        <v>0</v>
      </c>
      <c r="N36" s="430">
        <v>0</v>
      </c>
      <c r="O36" s="430">
        <v>6.12</v>
      </c>
      <c r="P36" s="430">
        <v>6.12</v>
      </c>
      <c r="Q36" s="430">
        <v>0</v>
      </c>
      <c r="R36" s="430">
        <v>0</v>
      </c>
      <c r="S36" s="430">
        <v>0</v>
      </c>
      <c r="T36" s="430">
        <v>0</v>
      </c>
      <c r="U36" s="430">
        <v>6.12</v>
      </c>
      <c r="V36" s="430">
        <v>4.7</v>
      </c>
      <c r="W36" s="430">
        <v>0</v>
      </c>
      <c r="X36" s="430">
        <v>1.1399999999999999</v>
      </c>
      <c r="Y36" s="430">
        <v>0.28000000000000003</v>
      </c>
      <c r="Z36" s="430">
        <v>4.7</v>
      </c>
      <c r="IV36" s="391"/>
    </row>
    <row r="37" spans="1:256" s="390" customFormat="1" ht="4.5" customHeight="1">
      <c r="A37" s="364"/>
      <c r="B37" s="393"/>
      <c r="C37" s="345"/>
      <c r="D37" s="346"/>
      <c r="E37" s="356"/>
      <c r="F37" s="357"/>
      <c r="G37" s="381"/>
      <c r="J37" s="390" t="s">
        <v>313</v>
      </c>
      <c r="K37" s="430"/>
      <c r="L37" s="430">
        <v>0</v>
      </c>
      <c r="M37" s="430">
        <v>0</v>
      </c>
      <c r="N37" s="430">
        <v>0</v>
      </c>
      <c r="O37" s="430">
        <v>0</v>
      </c>
      <c r="P37" s="430">
        <v>0</v>
      </c>
      <c r="Q37" s="430">
        <v>0</v>
      </c>
      <c r="R37" s="430">
        <v>0</v>
      </c>
      <c r="S37" s="430">
        <v>0</v>
      </c>
      <c r="T37" s="430">
        <v>0</v>
      </c>
      <c r="U37" s="430">
        <v>0</v>
      </c>
      <c r="V37" s="430">
        <v>0</v>
      </c>
      <c r="W37" s="430">
        <v>0</v>
      </c>
      <c r="X37" s="430">
        <v>0</v>
      </c>
      <c r="Y37" s="430">
        <v>0</v>
      </c>
      <c r="Z37" s="430">
        <v>0</v>
      </c>
      <c r="IV37" s="391"/>
    </row>
    <row r="38" spans="1:256" s="390" customFormat="1">
      <c r="A38" s="364"/>
      <c r="B38" s="393"/>
      <c r="C38" s="345"/>
      <c r="D38" s="394"/>
      <c r="E38" s="356"/>
      <c r="F38" s="357"/>
      <c r="G38" s="381"/>
      <c r="L38" s="390">
        <f>SUM(L30:L37)</f>
        <v>0</v>
      </c>
      <c r="M38" s="390">
        <f t="shared" ref="M38:Z38" si="0">SUM(M30:M37)</f>
        <v>0</v>
      </c>
      <c r="N38" s="390">
        <f t="shared" si="0"/>
        <v>0</v>
      </c>
      <c r="O38" s="390">
        <f t="shared" si="0"/>
        <v>521.61</v>
      </c>
      <c r="P38" s="390">
        <f t="shared" si="0"/>
        <v>489.55999999999995</v>
      </c>
      <c r="Q38" s="390">
        <f t="shared" si="0"/>
        <v>32.04</v>
      </c>
      <c r="R38" s="390">
        <f t="shared" si="0"/>
        <v>0</v>
      </c>
      <c r="S38" s="390">
        <f t="shared" si="0"/>
        <v>0</v>
      </c>
      <c r="T38" s="390">
        <f t="shared" si="0"/>
        <v>0</v>
      </c>
      <c r="U38" s="390">
        <f t="shared" si="0"/>
        <v>520.30999999999995</v>
      </c>
      <c r="V38" s="390">
        <f t="shared" si="0"/>
        <v>441.46999999999997</v>
      </c>
      <c r="W38" s="390">
        <f t="shared" si="0"/>
        <v>0</v>
      </c>
      <c r="X38" s="390">
        <f t="shared" si="0"/>
        <v>63.879999999999995</v>
      </c>
      <c r="Y38" s="390">
        <f t="shared" si="0"/>
        <v>14.96</v>
      </c>
      <c r="Z38" s="390">
        <f t="shared" si="0"/>
        <v>441.46999999999997</v>
      </c>
      <c r="IV38" s="391"/>
    </row>
    <row r="39" spans="1:256" s="390" customFormat="1" ht="3.75" customHeight="1">
      <c r="A39" s="364"/>
      <c r="B39" s="393"/>
      <c r="C39" s="345"/>
      <c r="D39" s="394"/>
      <c r="E39" s="356"/>
      <c r="F39" s="357"/>
      <c r="G39" s="381"/>
      <c r="IV39" s="391"/>
    </row>
    <row r="40" spans="1:256" s="390" customFormat="1" ht="6.75" customHeight="1">
      <c r="A40" s="364"/>
      <c r="B40" s="393"/>
      <c r="C40" s="454"/>
      <c r="D40" s="394"/>
      <c r="E40" s="356"/>
      <c r="F40" s="357"/>
      <c r="G40" s="381"/>
      <c r="IV40" s="391"/>
    </row>
    <row r="41" spans="1:256" s="390" customFormat="1">
      <c r="A41" s="354"/>
      <c r="B41" s="355"/>
      <c r="C41" s="455"/>
      <c r="D41" s="352"/>
      <c r="E41" s="360"/>
      <c r="F41" s="361"/>
      <c r="G41" s="381"/>
      <c r="IV41" s="391"/>
    </row>
    <row r="42" spans="1:256" s="389" customFormat="1">
      <c r="A42" s="354" t="s">
        <v>258</v>
      </c>
      <c r="B42" s="355" t="s">
        <v>266</v>
      </c>
      <c r="C42" s="455"/>
      <c r="D42" s="352"/>
      <c r="E42" s="360"/>
      <c r="F42" s="361">
        <f>SUM(F29:F41)</f>
        <v>0</v>
      </c>
      <c r="G42" s="381"/>
      <c r="H42" s="390"/>
    </row>
    <row r="43" spans="1:256" s="389" customFormat="1">
      <c r="A43" s="395"/>
      <c r="B43" s="396"/>
      <c r="C43" s="457"/>
      <c r="D43" s="394"/>
      <c r="E43" s="398"/>
      <c r="F43" s="399"/>
      <c r="G43" s="381"/>
      <c r="H43" s="388"/>
    </row>
    <row r="44" spans="1:256" s="390" customFormat="1">
      <c r="A44" s="354" t="s">
        <v>267</v>
      </c>
      <c r="B44" s="355" t="s">
        <v>268</v>
      </c>
      <c r="C44" s="455"/>
      <c r="D44" s="352"/>
      <c r="E44" s="360"/>
      <c r="F44" s="361"/>
      <c r="G44" s="381"/>
      <c r="IV44" s="391"/>
    </row>
    <row r="45" spans="1:256" s="390" customFormat="1">
      <c r="A45" s="354"/>
      <c r="B45" s="355"/>
      <c r="C45" s="455"/>
      <c r="D45" s="352"/>
      <c r="E45" s="360"/>
      <c r="F45" s="361"/>
      <c r="G45" s="381"/>
      <c r="I45" s="390" t="s">
        <v>221</v>
      </c>
      <c r="J45" s="390" t="s">
        <v>222</v>
      </c>
      <c r="K45" s="390" t="s">
        <v>223</v>
      </c>
      <c r="L45" s="390" t="s">
        <v>224</v>
      </c>
      <c r="M45" s="390" t="s">
        <v>225</v>
      </c>
      <c r="N45" s="390" t="s">
        <v>226</v>
      </c>
      <c r="O45" s="390" t="s">
        <v>227</v>
      </c>
      <c r="P45" s="390" t="s">
        <v>228</v>
      </c>
      <c r="Q45" s="390" t="s">
        <v>229</v>
      </c>
      <c r="R45" s="390" t="s">
        <v>230</v>
      </c>
      <c r="S45" s="390" t="s">
        <v>231</v>
      </c>
      <c r="T45" s="390" t="s">
        <v>232</v>
      </c>
      <c r="U45" s="390" t="s">
        <v>233</v>
      </c>
      <c r="V45" s="390" t="s">
        <v>234</v>
      </c>
      <c r="W45" s="390" t="s">
        <v>235</v>
      </c>
      <c r="X45" s="390" t="s">
        <v>236</v>
      </c>
      <c r="Y45" s="390" t="s">
        <v>237</v>
      </c>
      <c r="IV45" s="391"/>
    </row>
    <row r="46" spans="1:256" s="390" customFormat="1">
      <c r="A46" s="364"/>
      <c r="B46" s="393"/>
      <c r="C46" s="456"/>
      <c r="D46" s="346"/>
      <c r="E46" s="400"/>
      <c r="F46" s="401"/>
      <c r="G46" s="381"/>
      <c r="I46" s="390" t="s">
        <v>472</v>
      </c>
      <c r="K46" s="390">
        <v>0</v>
      </c>
      <c r="L46" s="390">
        <v>79.98</v>
      </c>
      <c r="M46" s="390">
        <v>0</v>
      </c>
      <c r="N46" s="390">
        <v>1570.6</v>
      </c>
      <c r="O46" s="390">
        <v>1567.3</v>
      </c>
      <c r="P46" s="390">
        <v>3.3</v>
      </c>
      <c r="Q46" s="390">
        <v>0</v>
      </c>
      <c r="R46" s="390">
        <v>0</v>
      </c>
      <c r="S46" s="390">
        <v>0</v>
      </c>
      <c r="T46" s="390">
        <v>1565.91</v>
      </c>
      <c r="U46" s="390">
        <v>971.84</v>
      </c>
      <c r="V46" s="390">
        <v>300.75</v>
      </c>
      <c r="W46" s="390">
        <v>238.02</v>
      </c>
      <c r="X46" s="390">
        <v>55.31</v>
      </c>
      <c r="Y46" s="390">
        <v>970.29</v>
      </c>
      <c r="IV46" s="391"/>
    </row>
    <row r="47" spans="1:256" s="390" customFormat="1" ht="63.75">
      <c r="A47" s="364" t="s">
        <v>270</v>
      </c>
      <c r="B47" s="393" t="s">
        <v>271</v>
      </c>
      <c r="C47" s="454"/>
      <c r="D47" s="346"/>
      <c r="E47" s="400"/>
      <c r="F47" s="401"/>
      <c r="G47" s="381"/>
      <c r="IV47" s="391"/>
    </row>
    <row r="48" spans="1:256" s="390" customFormat="1">
      <c r="A48" s="402"/>
      <c r="B48" s="393"/>
      <c r="C48" s="454">
        <f>X46</f>
        <v>55.31</v>
      </c>
      <c r="D48" s="346" t="s">
        <v>108</v>
      </c>
      <c r="E48" s="356"/>
      <c r="F48" s="357">
        <f>C48*E48</f>
        <v>0</v>
      </c>
      <c r="G48" s="381"/>
      <c r="IV48" s="391"/>
    </row>
    <row r="49" spans="1:256" s="390" customFormat="1">
      <c r="A49" s="402"/>
      <c r="B49" s="393"/>
      <c r="C49" s="456"/>
      <c r="D49" s="346"/>
      <c r="E49" s="356"/>
      <c r="F49" s="357"/>
      <c r="G49" s="381"/>
      <c r="IV49" s="391"/>
    </row>
    <row r="50" spans="1:256" s="390" customFormat="1" ht="89.25">
      <c r="A50" s="364" t="s">
        <v>272</v>
      </c>
      <c r="B50" s="393" t="s">
        <v>273</v>
      </c>
      <c r="C50" s="456"/>
      <c r="D50" s="346"/>
      <c r="E50" s="400"/>
      <c r="F50" s="401"/>
      <c r="G50" s="381"/>
      <c r="IV50" s="391"/>
    </row>
    <row r="51" spans="1:256" s="390" customFormat="1">
      <c r="A51" s="402"/>
      <c r="B51" s="393"/>
      <c r="C51" s="454">
        <f>W46</f>
        <v>238.02</v>
      </c>
      <c r="D51" s="346" t="s">
        <v>108</v>
      </c>
      <c r="E51" s="356"/>
      <c r="F51" s="357">
        <f>C51*E51</f>
        <v>0</v>
      </c>
      <c r="G51" s="381"/>
      <c r="IV51" s="391"/>
    </row>
    <row r="52" spans="1:256" s="390" customFormat="1">
      <c r="A52" s="402"/>
      <c r="B52" s="393"/>
      <c r="C52" s="454"/>
      <c r="D52" s="346"/>
      <c r="E52" s="356"/>
      <c r="F52" s="357"/>
      <c r="G52" s="381"/>
      <c r="IV52" s="391"/>
    </row>
    <row r="53" spans="1:256" s="390" customFormat="1" ht="76.5">
      <c r="A53" s="364" t="s">
        <v>274</v>
      </c>
      <c r="B53" s="393" t="s">
        <v>275</v>
      </c>
      <c r="C53" s="454"/>
      <c r="D53" s="346"/>
      <c r="E53" s="400"/>
      <c r="F53" s="401"/>
      <c r="G53" s="381"/>
      <c r="IV53" s="391"/>
    </row>
    <row r="54" spans="1:256" s="390" customFormat="1">
      <c r="A54" s="402"/>
      <c r="B54" s="393"/>
      <c r="C54" s="454">
        <f>C31-C48-C51</f>
        <v>913.06090000000017</v>
      </c>
      <c r="D54" s="346" t="s">
        <v>108</v>
      </c>
      <c r="E54" s="356"/>
      <c r="F54" s="357">
        <f>C54*E54</f>
        <v>0</v>
      </c>
      <c r="G54" s="381"/>
      <c r="IV54" s="391"/>
    </row>
    <row r="55" spans="1:256" s="390" customFormat="1">
      <c r="A55" s="364"/>
      <c r="B55" s="362"/>
      <c r="C55" s="454"/>
      <c r="D55" s="346"/>
      <c r="E55" s="365"/>
      <c r="F55" s="366"/>
      <c r="G55" s="381"/>
      <c r="IV55" s="391"/>
    </row>
    <row r="56" spans="1:256" s="389" customFormat="1" ht="51">
      <c r="A56" s="364" t="s">
        <v>278</v>
      </c>
      <c r="B56" s="393" t="s">
        <v>279</v>
      </c>
      <c r="C56" s="454"/>
      <c r="D56" s="346"/>
      <c r="E56" s="400"/>
      <c r="F56" s="401"/>
      <c r="G56" s="381"/>
      <c r="H56" s="381"/>
    </row>
    <row r="57" spans="1:256" s="389" customFormat="1">
      <c r="A57" s="402"/>
      <c r="B57" s="393"/>
      <c r="C57" s="454">
        <f>(C31+C37-C54)*1.4</f>
        <v>410.66199999999986</v>
      </c>
      <c r="D57" s="346" t="s">
        <v>108</v>
      </c>
      <c r="E57" s="356"/>
      <c r="F57" s="357">
        <f>C57*E57</f>
        <v>0</v>
      </c>
      <c r="G57" s="381"/>
      <c r="H57" s="381"/>
    </row>
    <row r="58" spans="1:256" s="389" customFormat="1">
      <c r="A58" s="402"/>
      <c r="B58" s="393"/>
      <c r="C58" s="454"/>
      <c r="D58" s="346"/>
      <c r="E58" s="356"/>
      <c r="F58" s="357"/>
      <c r="G58" s="381"/>
      <c r="H58" s="388"/>
    </row>
    <row r="59" spans="1:256" s="389" customFormat="1">
      <c r="A59" s="364" t="s">
        <v>280</v>
      </c>
      <c r="B59" s="393" t="s">
        <v>281</v>
      </c>
      <c r="C59" s="454"/>
      <c r="D59" s="346"/>
      <c r="E59" s="400"/>
      <c r="F59" s="401"/>
      <c r="G59" s="381"/>
      <c r="H59" s="388"/>
    </row>
    <row r="60" spans="1:256" s="389" customFormat="1">
      <c r="A60" s="402"/>
      <c r="B60" s="393"/>
      <c r="C60" s="454">
        <v>5</v>
      </c>
      <c r="D60" s="346" t="s">
        <v>71</v>
      </c>
      <c r="E60" s="356"/>
      <c r="F60" s="357">
        <f>C60*E60</f>
        <v>0</v>
      </c>
      <c r="G60" s="381"/>
      <c r="H60" s="388"/>
    </row>
    <row r="61" spans="1:256" s="389" customFormat="1">
      <c r="A61" s="402"/>
      <c r="B61" s="393"/>
      <c r="C61" s="358"/>
      <c r="D61" s="346"/>
      <c r="E61" s="356"/>
      <c r="F61" s="357"/>
      <c r="G61" s="381"/>
      <c r="H61" s="388"/>
    </row>
    <row r="62" spans="1:256" s="389" customFormat="1">
      <c r="A62" s="354" t="s">
        <v>267</v>
      </c>
      <c r="B62" s="355" t="s">
        <v>282</v>
      </c>
      <c r="C62" s="359"/>
      <c r="D62" s="352"/>
      <c r="E62" s="360"/>
      <c r="F62" s="361">
        <f>SUM(F46:F60)</f>
        <v>0</v>
      </c>
      <c r="G62" s="381"/>
      <c r="H62" s="390"/>
    </row>
    <row r="63" spans="1:256" s="389" customFormat="1">
      <c r="A63" s="354"/>
      <c r="B63" s="355"/>
      <c r="C63" s="359"/>
      <c r="D63" s="352"/>
      <c r="E63" s="360"/>
      <c r="F63" s="361"/>
      <c r="G63" s="381"/>
      <c r="H63" s="390"/>
    </row>
    <row r="64" spans="1:256" s="389" customFormat="1" ht="38.25">
      <c r="A64" s="364" t="s">
        <v>283</v>
      </c>
      <c r="B64" s="393" t="s">
        <v>284</v>
      </c>
      <c r="C64" s="358"/>
      <c r="D64" s="394"/>
      <c r="E64" s="356"/>
      <c r="F64" s="357"/>
      <c r="G64" s="381"/>
      <c r="H64" s="388"/>
    </row>
    <row r="65" spans="1:8" s="389" customFormat="1">
      <c r="A65" s="395"/>
      <c r="B65" s="396"/>
      <c r="C65" s="403"/>
      <c r="D65" s="394"/>
      <c r="E65" s="404"/>
      <c r="F65" s="357">
        <f>SUM(F62,F42)*0.05</f>
        <v>0</v>
      </c>
      <c r="G65" s="381"/>
      <c r="H65" s="388"/>
    </row>
    <row r="66" spans="1:8" s="389" customFormat="1">
      <c r="A66" s="354"/>
      <c r="B66" s="355"/>
      <c r="C66" s="359"/>
      <c r="D66" s="352"/>
      <c r="E66" s="360"/>
      <c r="F66" s="361"/>
      <c r="G66" s="381"/>
      <c r="H66" s="390"/>
    </row>
    <row r="67" spans="1:8" s="350" customFormat="1">
      <c r="A67" s="348" t="s">
        <v>177</v>
      </c>
      <c r="B67" s="349" t="s">
        <v>285</v>
      </c>
      <c r="C67" s="375"/>
      <c r="E67" s="376"/>
      <c r="F67" s="377">
        <f>F65+F62+F42</f>
        <v>0</v>
      </c>
      <c r="G67" s="345"/>
    </row>
    <row r="68" spans="1:8" s="350" customFormat="1">
      <c r="A68" s="348"/>
      <c r="B68" s="349"/>
      <c r="C68" s="375"/>
      <c r="E68" s="376"/>
      <c r="F68" s="377"/>
      <c r="G68" s="345"/>
    </row>
    <row r="69" spans="1:8" s="407" customFormat="1">
      <c r="A69" s="348" t="s">
        <v>175</v>
      </c>
      <c r="B69" s="349" t="s">
        <v>286</v>
      </c>
      <c r="C69" s="375"/>
      <c r="D69" s="350"/>
      <c r="E69" s="376"/>
      <c r="F69" s="377"/>
    </row>
    <row r="70" spans="1:8" s="407" customFormat="1">
      <c r="A70" s="349"/>
      <c r="B70" s="349"/>
      <c r="C70" s="408"/>
      <c r="D70" s="409"/>
      <c r="E70" s="410"/>
      <c r="F70" s="411"/>
    </row>
    <row r="71" spans="1:8" s="412" customFormat="1" ht="76.5">
      <c r="A71" s="364" t="s">
        <v>287</v>
      </c>
      <c r="B71" s="393" t="s">
        <v>288</v>
      </c>
      <c r="C71" s="358"/>
      <c r="D71" s="346"/>
      <c r="E71" s="356"/>
      <c r="F71" s="357"/>
    </row>
    <row r="72" spans="1:8" s="407" customFormat="1">
      <c r="A72" s="392"/>
      <c r="B72" s="393"/>
      <c r="C72" s="454">
        <f>C94+C95+C107</f>
        <v>6</v>
      </c>
      <c r="D72" s="346" t="s">
        <v>190</v>
      </c>
      <c r="E72" s="356"/>
      <c r="F72" s="357">
        <f>C72*E72</f>
        <v>0</v>
      </c>
    </row>
    <row r="73" spans="1:8" s="407" customFormat="1">
      <c r="A73" s="392"/>
      <c r="B73" s="393"/>
      <c r="C73" s="456"/>
      <c r="D73" s="346"/>
      <c r="E73" s="356"/>
      <c r="F73" s="357"/>
    </row>
    <row r="74" spans="1:8" s="407" customFormat="1" ht="51">
      <c r="A74" s="364" t="s">
        <v>289</v>
      </c>
      <c r="B74" s="393" t="s">
        <v>330</v>
      </c>
      <c r="C74" s="456"/>
      <c r="D74" s="346"/>
      <c r="E74" s="356"/>
      <c r="F74" s="357"/>
    </row>
    <row r="75" spans="1:8" s="407" customFormat="1">
      <c r="A75" s="392"/>
      <c r="B75" s="393"/>
      <c r="C75" s="454">
        <f>C106+C107</f>
        <v>2</v>
      </c>
      <c r="D75" s="346" t="s">
        <v>190</v>
      </c>
      <c r="E75" s="356"/>
      <c r="F75" s="357">
        <f>C75*E75</f>
        <v>0</v>
      </c>
    </row>
    <row r="76" spans="1:8" s="407" customFormat="1">
      <c r="A76" s="392"/>
      <c r="B76" s="393"/>
      <c r="C76" s="456"/>
      <c r="D76" s="346"/>
      <c r="E76" s="356"/>
      <c r="F76" s="357"/>
    </row>
    <row r="77" spans="1:8" s="407" customFormat="1" ht="38.25">
      <c r="A77" s="364" t="s">
        <v>291</v>
      </c>
      <c r="B77" s="393" t="s">
        <v>290</v>
      </c>
      <c r="C77" s="456"/>
      <c r="D77" s="346"/>
      <c r="E77" s="356"/>
      <c r="F77" s="357"/>
    </row>
    <row r="78" spans="1:8" s="407" customFormat="1">
      <c r="A78" s="392"/>
      <c r="B78" s="393"/>
      <c r="C78" s="454">
        <v>2</v>
      </c>
      <c r="D78" s="346" t="s">
        <v>190</v>
      </c>
      <c r="E78" s="356"/>
      <c r="F78" s="357">
        <f>C78*E78</f>
        <v>0</v>
      </c>
    </row>
    <row r="79" spans="1:8" s="407" customFormat="1">
      <c r="A79" s="392"/>
      <c r="B79" s="393"/>
      <c r="C79" s="456"/>
      <c r="D79" s="346"/>
      <c r="E79" s="356"/>
      <c r="F79" s="357"/>
    </row>
    <row r="80" spans="1:8" s="350" customFormat="1" ht="38.25">
      <c r="A80" s="364" t="s">
        <v>329</v>
      </c>
      <c r="B80" s="393" t="s">
        <v>292</v>
      </c>
      <c r="C80" s="456"/>
      <c r="D80" s="346"/>
      <c r="E80" s="356"/>
      <c r="F80" s="357"/>
      <c r="G80" s="345"/>
    </row>
    <row r="81" spans="1:12" s="350" customFormat="1">
      <c r="A81" s="413"/>
      <c r="B81" s="393"/>
      <c r="C81" s="454">
        <v>6</v>
      </c>
      <c r="D81" s="346" t="s">
        <v>105</v>
      </c>
      <c r="E81" s="356"/>
      <c r="F81" s="357">
        <f>C81*E81</f>
        <v>0</v>
      </c>
      <c r="G81" s="381"/>
      <c r="I81" s="346"/>
      <c r="J81" s="346"/>
      <c r="K81" s="346"/>
      <c r="L81" s="346"/>
    </row>
    <row r="82" spans="1:12" s="389" customFormat="1">
      <c r="A82" s="413"/>
      <c r="B82" s="393"/>
      <c r="C82" s="345"/>
      <c r="D82" s="346"/>
      <c r="E82" s="356"/>
      <c r="F82" s="357"/>
      <c r="G82" s="381"/>
      <c r="H82" s="381"/>
      <c r="I82" s="346"/>
      <c r="J82" s="346"/>
      <c r="K82" s="346"/>
      <c r="L82" s="346"/>
    </row>
    <row r="83" spans="1:12" s="389" customFormat="1">
      <c r="A83" s="348" t="s">
        <v>175</v>
      </c>
      <c r="B83" s="349" t="s">
        <v>293</v>
      </c>
      <c r="C83" s="350"/>
      <c r="D83" s="350"/>
      <c r="E83" s="376"/>
      <c r="F83" s="377">
        <f>SUM(F72:F82)</f>
        <v>0</v>
      </c>
      <c r="G83" s="381"/>
      <c r="H83" s="390"/>
      <c r="I83" s="346"/>
      <c r="J83" s="346"/>
      <c r="K83" s="346"/>
      <c r="L83" s="346"/>
    </row>
    <row r="84" spans="1:12" s="389" customFormat="1">
      <c r="A84" s="348"/>
      <c r="B84" s="349"/>
      <c r="C84" s="350"/>
      <c r="D84" s="350"/>
      <c r="E84" s="376"/>
      <c r="F84" s="377"/>
      <c r="G84" s="381"/>
      <c r="H84" s="390"/>
      <c r="I84" s="352"/>
      <c r="J84" s="352"/>
      <c r="K84" s="352"/>
      <c r="L84" s="352"/>
    </row>
    <row r="85" spans="1:12" s="389" customFormat="1">
      <c r="A85" s="348" t="s">
        <v>185</v>
      </c>
      <c r="B85" s="349" t="s">
        <v>294</v>
      </c>
      <c r="C85" s="350"/>
      <c r="D85" s="350"/>
      <c r="E85" s="376"/>
      <c r="F85" s="377"/>
      <c r="G85" s="381"/>
      <c r="H85" s="390"/>
      <c r="I85" s="352"/>
      <c r="J85" s="352"/>
      <c r="K85" s="352"/>
      <c r="L85" s="352"/>
    </row>
    <row r="86" spans="1:12" s="389" customFormat="1">
      <c r="A86" s="402"/>
      <c r="B86" s="393"/>
      <c r="C86" s="345"/>
      <c r="D86" s="346"/>
      <c r="E86" s="356"/>
      <c r="F86" s="357"/>
      <c r="G86" s="381"/>
      <c r="H86" s="390"/>
      <c r="I86" s="352"/>
      <c r="J86" s="352"/>
      <c r="K86" s="352"/>
      <c r="L86" s="352"/>
    </row>
    <row r="87" spans="1:12" s="389" customFormat="1" ht="38.25">
      <c r="A87" s="392"/>
      <c r="B87" s="393" t="s">
        <v>315</v>
      </c>
      <c r="C87" s="345"/>
      <c r="D87" s="346"/>
      <c r="E87" s="400"/>
      <c r="F87" s="401"/>
      <c r="G87" s="381"/>
      <c r="I87" s="346"/>
      <c r="J87" s="346"/>
      <c r="K87" s="346"/>
      <c r="L87" s="346"/>
    </row>
    <row r="88" spans="1:12" s="389" customFormat="1">
      <c r="A88" s="364" t="s">
        <v>295</v>
      </c>
      <c r="B88" s="393" t="s">
        <v>306</v>
      </c>
      <c r="C88" s="454">
        <f>K90</f>
        <v>664.27</v>
      </c>
      <c r="D88" s="346" t="s">
        <v>115</v>
      </c>
      <c r="E88" s="356"/>
      <c r="F88" s="357">
        <f>C88*E88</f>
        <v>0</v>
      </c>
      <c r="G88" s="381"/>
      <c r="I88" s="346"/>
      <c r="J88" s="346"/>
      <c r="K88" s="346"/>
      <c r="L88" s="346"/>
    </row>
    <row r="89" spans="1:12" s="389" customFormat="1">
      <c r="A89" s="402"/>
      <c r="B89" s="393"/>
      <c r="C89" s="454"/>
      <c r="D89" s="346"/>
      <c r="E89" s="356"/>
      <c r="F89" s="357"/>
      <c r="G89" s="381"/>
      <c r="H89" s="415"/>
      <c r="I89" s="346" t="s">
        <v>221</v>
      </c>
      <c r="J89" s="346" t="s">
        <v>238</v>
      </c>
      <c r="K89" s="346" t="s">
        <v>239</v>
      </c>
      <c r="L89" s="346"/>
    </row>
    <row r="90" spans="1:12" s="389" customFormat="1" ht="76.5">
      <c r="A90" s="392"/>
      <c r="B90" s="393" t="s">
        <v>319</v>
      </c>
      <c r="C90" s="454"/>
      <c r="D90" s="346"/>
      <c r="E90" s="400"/>
      <c r="F90" s="401"/>
      <c r="G90" s="381"/>
      <c r="H90" s="415"/>
      <c r="I90" s="346" t="s">
        <v>306</v>
      </c>
      <c r="J90" s="346">
        <v>100</v>
      </c>
      <c r="K90" s="346">
        <v>664.27</v>
      </c>
      <c r="L90" s="346"/>
    </row>
    <row r="91" spans="1:12" s="389" customFormat="1">
      <c r="A91" s="364" t="s">
        <v>296</v>
      </c>
      <c r="B91" s="393" t="s">
        <v>306</v>
      </c>
      <c r="C91" s="454">
        <f>C88</f>
        <v>664.27</v>
      </c>
      <c r="D91" s="346" t="s">
        <v>115</v>
      </c>
      <c r="E91" s="356"/>
      <c r="F91" s="357">
        <f>C91*E91</f>
        <v>0</v>
      </c>
      <c r="G91" s="381"/>
      <c r="H91" s="415"/>
      <c r="I91" s="346"/>
      <c r="J91" s="346"/>
      <c r="K91" s="346"/>
      <c r="L91" s="346"/>
    </row>
    <row r="92" spans="1:12" s="421" customFormat="1">
      <c r="A92" s="364"/>
      <c r="B92" s="393"/>
      <c r="C92" s="345"/>
      <c r="D92" s="346"/>
      <c r="E92" s="356"/>
      <c r="F92" s="357"/>
      <c r="G92" s="419"/>
      <c r="H92" s="420"/>
    </row>
    <row r="93" spans="1:12" s="389" customFormat="1" ht="76.5">
      <c r="A93" s="392" t="s">
        <v>297</v>
      </c>
      <c r="B93" s="393" t="s">
        <v>298</v>
      </c>
      <c r="C93" s="363"/>
      <c r="D93" s="363"/>
      <c r="E93" s="414"/>
      <c r="F93" s="414"/>
      <c r="G93" s="381"/>
      <c r="H93" s="390"/>
    </row>
    <row r="94" spans="1:12" s="350" customFormat="1">
      <c r="A94" s="363">
        <v>1</v>
      </c>
      <c r="B94" s="363" t="s">
        <v>325</v>
      </c>
      <c r="C94" s="458">
        <v>3</v>
      </c>
      <c r="D94" s="416" t="s">
        <v>190</v>
      </c>
      <c r="E94" s="414"/>
      <c r="F94" s="414">
        <f t="shared" ref="F94:F111" si="1">C94*E94</f>
        <v>0</v>
      </c>
      <c r="G94" s="345"/>
    </row>
    <row r="95" spans="1:12" s="350" customFormat="1">
      <c r="A95" s="363">
        <v>2</v>
      </c>
      <c r="B95" s="363" t="s">
        <v>326</v>
      </c>
      <c r="C95" s="458">
        <v>3</v>
      </c>
      <c r="D95" s="416" t="s">
        <v>190</v>
      </c>
      <c r="E95" s="414"/>
      <c r="F95" s="414">
        <f t="shared" si="1"/>
        <v>0</v>
      </c>
      <c r="G95" s="345"/>
    </row>
    <row r="96" spans="1:12" s="350" customFormat="1">
      <c r="A96" s="363">
        <v>3</v>
      </c>
      <c r="B96" s="363" t="s">
        <v>320</v>
      </c>
      <c r="C96" s="458">
        <v>2</v>
      </c>
      <c r="D96" s="346" t="s">
        <v>190</v>
      </c>
      <c r="E96" s="414"/>
      <c r="F96" s="414">
        <f t="shared" ref="F96" si="2">C96*E96</f>
        <v>0</v>
      </c>
      <c r="G96" s="345"/>
    </row>
    <row r="97" spans="1:8" s="350" customFormat="1">
      <c r="A97" s="363">
        <v>4</v>
      </c>
      <c r="B97" s="363" t="s">
        <v>475</v>
      </c>
      <c r="C97" s="458">
        <v>3</v>
      </c>
      <c r="D97" s="346" t="s">
        <v>190</v>
      </c>
      <c r="E97" s="414"/>
      <c r="F97" s="414">
        <f t="shared" si="1"/>
        <v>0</v>
      </c>
      <c r="G97" s="345"/>
    </row>
    <row r="98" spans="1:8" s="350" customFormat="1">
      <c r="A98" s="363"/>
      <c r="B98" s="363"/>
      <c r="C98" s="458"/>
      <c r="D98" s="346"/>
      <c r="E98" s="414"/>
      <c r="F98" s="414"/>
      <c r="G98" s="345"/>
    </row>
    <row r="99" spans="1:8" s="350" customFormat="1">
      <c r="A99" s="434"/>
      <c r="B99" s="417"/>
      <c r="C99" s="459"/>
      <c r="D99" s="346"/>
      <c r="E99" s="414"/>
      <c r="F99" s="414"/>
      <c r="G99" s="345"/>
    </row>
    <row r="100" spans="1:8" s="346" customFormat="1">
      <c r="A100" s="434">
        <v>5</v>
      </c>
      <c r="B100" s="417" t="s">
        <v>323</v>
      </c>
      <c r="C100" s="459">
        <v>7</v>
      </c>
      <c r="D100" s="346" t="s">
        <v>190</v>
      </c>
      <c r="E100" s="414"/>
      <c r="F100" s="414">
        <f t="shared" si="1"/>
        <v>0</v>
      </c>
      <c r="G100" s="345"/>
      <c r="H100" s="345"/>
    </row>
    <row r="101" spans="1:8" s="350" customFormat="1">
      <c r="A101" s="434"/>
      <c r="B101" s="417"/>
      <c r="C101" s="459"/>
      <c r="D101" s="346"/>
      <c r="E101" s="414"/>
      <c r="F101" s="414"/>
      <c r="G101" s="381"/>
    </row>
    <row r="102" spans="1:8" s="346" customFormat="1">
      <c r="A102" s="434"/>
      <c r="B102" s="417"/>
      <c r="C102" s="459"/>
      <c r="E102" s="414"/>
      <c r="F102" s="414"/>
      <c r="G102" s="345"/>
      <c r="H102" s="345"/>
    </row>
    <row r="103" spans="1:8" s="389" customFormat="1">
      <c r="A103" s="434">
        <v>6</v>
      </c>
      <c r="B103" s="417" t="s">
        <v>473</v>
      </c>
      <c r="C103" s="459">
        <v>1</v>
      </c>
      <c r="D103" s="346" t="s">
        <v>190</v>
      </c>
      <c r="E103" s="414"/>
      <c r="F103" s="414">
        <f t="shared" ref="F103" si="3">C103*E103</f>
        <v>0</v>
      </c>
    </row>
    <row r="104" spans="1:8" s="389" customFormat="1">
      <c r="A104" s="434"/>
      <c r="B104" s="417"/>
      <c r="C104" s="459"/>
      <c r="D104" s="346"/>
      <c r="E104" s="414"/>
      <c r="F104" s="414"/>
    </row>
    <row r="105" spans="1:8" s="389" customFormat="1">
      <c r="A105" s="434"/>
      <c r="B105" s="417"/>
      <c r="C105" s="459"/>
      <c r="D105" s="346"/>
      <c r="E105" s="414"/>
      <c r="F105" s="414"/>
    </row>
    <row r="106" spans="1:8" s="389" customFormat="1">
      <c r="A106" s="434">
        <v>7</v>
      </c>
      <c r="B106" s="417" t="s">
        <v>478</v>
      </c>
      <c r="C106" s="459">
        <v>2</v>
      </c>
      <c r="D106" s="346" t="s">
        <v>190</v>
      </c>
      <c r="E106" s="414"/>
      <c r="F106" s="414">
        <f t="shared" si="1"/>
        <v>0</v>
      </c>
    </row>
    <row r="107" spans="1:8" s="389" customFormat="1">
      <c r="A107" s="431"/>
      <c r="B107" s="432"/>
      <c r="C107" s="460"/>
      <c r="D107" s="433"/>
      <c r="E107" s="414"/>
      <c r="F107" s="414"/>
    </row>
    <row r="108" spans="1:8" s="389" customFormat="1">
      <c r="A108" s="434">
        <v>8</v>
      </c>
      <c r="B108" s="418" t="s">
        <v>327</v>
      </c>
      <c r="C108" s="459">
        <v>2</v>
      </c>
      <c r="D108" s="346" t="s">
        <v>190</v>
      </c>
      <c r="E108" s="414"/>
      <c r="F108" s="414">
        <f t="shared" si="1"/>
        <v>0</v>
      </c>
    </row>
    <row r="109" spans="1:8" s="389" customFormat="1">
      <c r="A109" s="363">
        <v>9</v>
      </c>
      <c r="B109" s="417" t="s">
        <v>328</v>
      </c>
      <c r="C109" s="458">
        <v>3</v>
      </c>
      <c r="D109" s="346" t="s">
        <v>190</v>
      </c>
      <c r="E109" s="414"/>
      <c r="F109" s="414">
        <f t="shared" ref="F109" si="4">C109*E109</f>
        <v>0</v>
      </c>
    </row>
    <row r="110" spans="1:8" s="389" customFormat="1">
      <c r="A110" s="363">
        <v>10</v>
      </c>
      <c r="B110" s="417" t="s">
        <v>476</v>
      </c>
      <c r="C110" s="458">
        <v>1</v>
      </c>
      <c r="D110" s="346" t="s">
        <v>190</v>
      </c>
      <c r="E110" s="414"/>
      <c r="F110" s="414">
        <f t="shared" si="1"/>
        <v>0</v>
      </c>
    </row>
    <row r="111" spans="1:8" s="389" customFormat="1">
      <c r="A111" s="363">
        <v>11</v>
      </c>
      <c r="B111" s="417" t="s">
        <v>321</v>
      </c>
      <c r="C111" s="458">
        <v>1</v>
      </c>
      <c r="D111" s="346" t="s">
        <v>190</v>
      </c>
      <c r="E111" s="414"/>
      <c r="F111" s="414">
        <f t="shared" si="1"/>
        <v>0</v>
      </c>
    </row>
    <row r="112" spans="1:8" s="389" customFormat="1">
      <c r="A112" s="435"/>
      <c r="B112" s="417"/>
      <c r="C112" s="458"/>
      <c r="D112" s="346"/>
      <c r="E112" s="414"/>
      <c r="F112" s="414"/>
    </row>
    <row r="113" spans="1:256" s="389" customFormat="1">
      <c r="A113" s="435">
        <v>12</v>
      </c>
      <c r="B113" s="417" t="s">
        <v>474</v>
      </c>
      <c r="C113" s="458">
        <v>4</v>
      </c>
      <c r="D113" s="346" t="s">
        <v>190</v>
      </c>
      <c r="E113" s="414"/>
      <c r="F113" s="414">
        <f t="shared" ref="F113" si="5">C113*E113</f>
        <v>0</v>
      </c>
    </row>
    <row r="114" spans="1:256" s="389" customFormat="1">
      <c r="A114" s="435"/>
      <c r="B114" s="417"/>
      <c r="C114" s="458"/>
      <c r="D114" s="346"/>
      <c r="E114" s="414"/>
      <c r="F114" s="414"/>
    </row>
    <row r="115" spans="1:256" s="389" customFormat="1">
      <c r="A115" s="431"/>
      <c r="B115" s="431"/>
      <c r="C115" s="461"/>
      <c r="D115" s="436"/>
      <c r="E115" s="414"/>
      <c r="F115" s="414"/>
    </row>
    <row r="116" spans="1:256" s="389" customFormat="1">
      <c r="A116" s="431"/>
      <c r="B116" s="431"/>
      <c r="C116" s="461"/>
      <c r="D116" s="436"/>
      <c r="E116" s="437"/>
      <c r="F116" s="437"/>
    </row>
    <row r="117" spans="1:256" s="389" customFormat="1" ht="76.5">
      <c r="A117" s="364" t="s">
        <v>318</v>
      </c>
      <c r="B117" s="393" t="s">
        <v>477</v>
      </c>
      <c r="C117" s="458"/>
      <c r="D117" s="363"/>
      <c r="E117" s="414"/>
      <c r="F117" s="414"/>
    </row>
    <row r="118" spans="1:256" s="389" customFormat="1">
      <c r="A118" s="422"/>
      <c r="B118" s="423"/>
      <c r="C118" s="462">
        <v>6</v>
      </c>
      <c r="D118" s="416" t="s">
        <v>190</v>
      </c>
      <c r="E118" s="424"/>
      <c r="F118" s="425">
        <f>C118*E118</f>
        <v>0</v>
      </c>
    </row>
    <row r="119" spans="1:256" s="389" customFormat="1">
      <c r="A119" s="354"/>
      <c r="B119" s="355"/>
      <c r="C119" s="359"/>
      <c r="D119" s="352"/>
      <c r="E119" s="360"/>
      <c r="F119" s="361"/>
    </row>
    <row r="120" spans="1:256" s="346" customFormat="1">
      <c r="A120" s="348" t="s">
        <v>185</v>
      </c>
      <c r="B120" s="349" t="s">
        <v>299</v>
      </c>
      <c r="C120" s="350"/>
      <c r="D120" s="350"/>
      <c r="E120" s="376"/>
      <c r="F120" s="377">
        <f>SUM(F86:F118)</f>
        <v>0</v>
      </c>
      <c r="G120" s="345"/>
      <c r="H120" s="345"/>
    </row>
    <row r="121" spans="1:256" s="350" customFormat="1">
      <c r="A121" s="354"/>
      <c r="B121" s="355"/>
      <c r="C121" s="359"/>
      <c r="D121" s="352"/>
      <c r="E121" s="352"/>
      <c r="F121" s="353"/>
      <c r="G121" s="381"/>
    </row>
    <row r="122" spans="1:256" s="352" customFormat="1">
      <c r="A122" s="348" t="s">
        <v>102</v>
      </c>
      <c r="B122" s="349" t="s">
        <v>170</v>
      </c>
      <c r="C122" s="350"/>
      <c r="D122" s="350"/>
      <c r="E122" s="376"/>
      <c r="F122" s="377"/>
      <c r="G122" s="345"/>
      <c r="H122" s="345"/>
      <c r="IV122" s="405"/>
    </row>
    <row r="123" spans="1:256">
      <c r="A123" s="364"/>
      <c r="B123" s="344"/>
      <c r="C123" s="454"/>
      <c r="D123" s="346"/>
      <c r="E123" s="356"/>
      <c r="F123" s="357"/>
    </row>
    <row r="124" spans="1:256" ht="25.5">
      <c r="A124" s="364" t="s">
        <v>300</v>
      </c>
      <c r="B124" s="393" t="s">
        <v>301</v>
      </c>
      <c r="C124" s="454"/>
      <c r="D124" s="346"/>
      <c r="E124" s="400"/>
      <c r="F124" s="401"/>
    </row>
    <row r="125" spans="1:256">
      <c r="A125" s="402"/>
      <c r="B125" s="393"/>
      <c r="C125" s="454">
        <f>C8</f>
        <v>664.27</v>
      </c>
      <c r="D125" s="346" t="s">
        <v>115</v>
      </c>
      <c r="E125" s="356"/>
      <c r="F125" s="357">
        <f>C125*E125</f>
        <v>0</v>
      </c>
    </row>
    <row r="126" spans="1:256">
      <c r="A126" s="402"/>
      <c r="B126" s="393"/>
      <c r="C126" s="454"/>
      <c r="D126" s="346"/>
      <c r="E126" s="356"/>
      <c r="F126" s="357"/>
    </row>
    <row r="127" spans="1:256" ht="51">
      <c r="A127" s="364" t="s">
        <v>302</v>
      </c>
      <c r="B127" s="393" t="s">
        <v>303</v>
      </c>
      <c r="C127" s="458"/>
      <c r="D127" s="363"/>
      <c r="E127" s="414"/>
      <c r="F127" s="414"/>
    </row>
    <row r="128" spans="1:256">
      <c r="A128" s="364"/>
      <c r="B128" s="393"/>
      <c r="C128" s="454">
        <f>C125</f>
        <v>664.27</v>
      </c>
      <c r="D128" s="346" t="s">
        <v>115</v>
      </c>
      <c r="E128" s="356"/>
      <c r="F128" s="357">
        <f>C128*E128</f>
        <v>0</v>
      </c>
    </row>
    <row r="129" spans="1:6">
      <c r="A129" s="348" t="s">
        <v>102</v>
      </c>
      <c r="B129" s="349" t="s">
        <v>304</v>
      </c>
      <c r="C129" s="350"/>
      <c r="D129" s="350"/>
      <c r="E129" s="376"/>
      <c r="F129" s="377">
        <f>SUM(F123:F128)</f>
        <v>0</v>
      </c>
    </row>
    <row r="130" spans="1:6">
      <c r="C130" s="397"/>
      <c r="E130" s="406"/>
    </row>
    <row r="132" spans="1:6">
      <c r="A132" s="429"/>
      <c r="B132" s="346"/>
      <c r="C132" s="346"/>
      <c r="D132" s="346"/>
      <c r="E132" s="346"/>
      <c r="F132" s="346"/>
    </row>
    <row r="133" spans="1:6">
      <c r="A133" s="429"/>
      <c r="B133" s="346"/>
      <c r="C133" s="346"/>
      <c r="D133" s="346"/>
      <c r="E133" s="346"/>
      <c r="F133" s="346"/>
    </row>
  </sheetData>
  <pageMargins left="0.70866141732283472" right="0.70866141732283472" top="0.74803149606299213" bottom="0.74803149606299213" header="0.31496062992125984" footer="0.31496062992125984"/>
  <pageSetup paperSize="9" scale="97" orientation="portrait" r:id="rId1"/>
  <headerFooter>
    <oddHeader>&amp;CProjekt Dolenje in Gorenje Ponikve:
Kanalizacija, rekonstrukcija vodovoda in pločnik med naseljema</oddHeader>
    <oddFooter>&amp;R&amp;P/&amp;N</oddFooter>
  </headerFooter>
  <rowBreaks count="6" manualBreakCount="6">
    <brk id="11" max="5" man="1"/>
    <brk id="24" max="5" man="1"/>
    <brk id="48" max="5" man="1"/>
    <brk id="67" max="5" man="1"/>
    <brk id="84" max="5" man="1"/>
    <brk id="120" max="5"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V134"/>
  <sheetViews>
    <sheetView view="pageBreakPreview" topLeftCell="A98" zoomScale="140" zoomScaleNormal="150" zoomScaleSheetLayoutView="140" workbookViewId="0">
      <selection activeCell="A130" sqref="A130"/>
    </sheetView>
  </sheetViews>
  <sheetFormatPr defaultColWidth="9" defaultRowHeight="12.75"/>
  <cols>
    <col min="1" max="1" width="7.42578125" style="395" bestFit="1" customWidth="1"/>
    <col min="2" max="2" width="41.42578125" style="396" customWidth="1"/>
    <col min="3" max="3" width="8.7109375" style="472" customWidth="1"/>
    <col min="4" max="4" width="6.140625" style="394" customWidth="1"/>
    <col min="5" max="5" width="12.28515625" style="394" customWidth="1"/>
    <col min="6" max="6" width="12.7109375" style="428" customWidth="1"/>
    <col min="7" max="7" width="10.140625" style="394" customWidth="1"/>
    <col min="8" max="8" width="2" style="394" bestFit="1" customWidth="1"/>
    <col min="9" max="9" width="19.5703125" style="394" customWidth="1"/>
    <col min="10" max="10" width="4.85546875" style="394" customWidth="1"/>
    <col min="11" max="11" width="9.85546875" style="394" customWidth="1"/>
    <col min="12" max="12" width="12" style="394" customWidth="1"/>
    <col min="13" max="256" width="9" style="394"/>
    <col min="257" max="257" width="7.42578125" style="394" bestFit="1" customWidth="1"/>
    <col min="258" max="258" width="37.42578125" style="394" customWidth="1"/>
    <col min="259" max="259" width="14.140625" style="394" customWidth="1"/>
    <col min="260" max="260" width="6.140625" style="394" customWidth="1"/>
    <col min="261" max="261" width="12.28515625" style="394" customWidth="1"/>
    <col min="262" max="262" width="15.42578125" style="394" customWidth="1"/>
    <col min="263" max="263" width="10.140625" style="394" customWidth="1"/>
    <col min="264" max="264" width="2" style="394" bestFit="1" customWidth="1"/>
    <col min="265" max="265" width="39.42578125" style="394" customWidth="1"/>
    <col min="266" max="512" width="9" style="394"/>
    <col min="513" max="513" width="7.42578125" style="394" bestFit="1" customWidth="1"/>
    <col min="514" max="514" width="37.42578125" style="394" customWidth="1"/>
    <col min="515" max="515" width="14.140625" style="394" customWidth="1"/>
    <col min="516" max="516" width="6.140625" style="394" customWidth="1"/>
    <col min="517" max="517" width="12.28515625" style="394" customWidth="1"/>
    <col min="518" max="518" width="15.42578125" style="394" customWidth="1"/>
    <col min="519" max="519" width="10.140625" style="394" customWidth="1"/>
    <col min="520" max="520" width="2" style="394" bestFit="1" customWidth="1"/>
    <col min="521" max="521" width="39.42578125" style="394" customWidth="1"/>
    <col min="522" max="768" width="9" style="394"/>
    <col min="769" max="769" width="7.42578125" style="394" bestFit="1" customWidth="1"/>
    <col min="770" max="770" width="37.42578125" style="394" customWidth="1"/>
    <col min="771" max="771" width="14.140625" style="394" customWidth="1"/>
    <col min="772" max="772" width="6.140625" style="394" customWidth="1"/>
    <col min="773" max="773" width="12.28515625" style="394" customWidth="1"/>
    <col min="774" max="774" width="15.42578125" style="394" customWidth="1"/>
    <col min="775" max="775" width="10.140625" style="394" customWidth="1"/>
    <col min="776" max="776" width="2" style="394" bestFit="1" customWidth="1"/>
    <col min="777" max="777" width="39.42578125" style="394" customWidth="1"/>
    <col min="778" max="1024" width="9" style="394"/>
    <col min="1025" max="1025" width="7.42578125" style="394" bestFit="1" customWidth="1"/>
    <col min="1026" max="1026" width="37.42578125" style="394" customWidth="1"/>
    <col min="1027" max="1027" width="14.140625" style="394" customWidth="1"/>
    <col min="1028" max="1028" width="6.140625" style="394" customWidth="1"/>
    <col min="1029" max="1029" width="12.28515625" style="394" customWidth="1"/>
    <col min="1030" max="1030" width="15.42578125" style="394" customWidth="1"/>
    <col min="1031" max="1031" width="10.140625" style="394" customWidth="1"/>
    <col min="1032" max="1032" width="2" style="394" bestFit="1" customWidth="1"/>
    <col min="1033" max="1033" width="39.42578125" style="394" customWidth="1"/>
    <col min="1034" max="1280" width="9" style="394"/>
    <col min="1281" max="1281" width="7.42578125" style="394" bestFit="1" customWidth="1"/>
    <col min="1282" max="1282" width="37.42578125" style="394" customWidth="1"/>
    <col min="1283" max="1283" width="14.140625" style="394" customWidth="1"/>
    <col min="1284" max="1284" width="6.140625" style="394" customWidth="1"/>
    <col min="1285" max="1285" width="12.28515625" style="394" customWidth="1"/>
    <col min="1286" max="1286" width="15.42578125" style="394" customWidth="1"/>
    <col min="1287" max="1287" width="10.140625" style="394" customWidth="1"/>
    <col min="1288" max="1288" width="2" style="394" bestFit="1" customWidth="1"/>
    <col min="1289" max="1289" width="39.42578125" style="394" customWidth="1"/>
    <col min="1290" max="1536" width="9" style="394"/>
    <col min="1537" max="1537" width="7.42578125" style="394" bestFit="1" customWidth="1"/>
    <col min="1538" max="1538" width="37.42578125" style="394" customWidth="1"/>
    <col min="1539" max="1539" width="14.140625" style="394" customWidth="1"/>
    <col min="1540" max="1540" width="6.140625" style="394" customWidth="1"/>
    <col min="1541" max="1541" width="12.28515625" style="394" customWidth="1"/>
    <col min="1542" max="1542" width="15.42578125" style="394" customWidth="1"/>
    <col min="1543" max="1543" width="10.140625" style="394" customWidth="1"/>
    <col min="1544" max="1544" width="2" style="394" bestFit="1" customWidth="1"/>
    <col min="1545" max="1545" width="39.42578125" style="394" customWidth="1"/>
    <col min="1546" max="1792" width="9" style="394"/>
    <col min="1793" max="1793" width="7.42578125" style="394" bestFit="1" customWidth="1"/>
    <col min="1794" max="1794" width="37.42578125" style="394" customWidth="1"/>
    <col min="1795" max="1795" width="14.140625" style="394" customWidth="1"/>
    <col min="1796" max="1796" width="6.140625" style="394" customWidth="1"/>
    <col min="1797" max="1797" width="12.28515625" style="394" customWidth="1"/>
    <col min="1798" max="1798" width="15.42578125" style="394" customWidth="1"/>
    <col min="1799" max="1799" width="10.140625" style="394" customWidth="1"/>
    <col min="1800" max="1800" width="2" style="394" bestFit="1" customWidth="1"/>
    <col min="1801" max="1801" width="39.42578125" style="394" customWidth="1"/>
    <col min="1802" max="2048" width="9" style="394"/>
    <col min="2049" max="2049" width="7.42578125" style="394" bestFit="1" customWidth="1"/>
    <col min="2050" max="2050" width="37.42578125" style="394" customWidth="1"/>
    <col min="2051" max="2051" width="14.140625" style="394" customWidth="1"/>
    <col min="2052" max="2052" width="6.140625" style="394" customWidth="1"/>
    <col min="2053" max="2053" width="12.28515625" style="394" customWidth="1"/>
    <col min="2054" max="2054" width="15.42578125" style="394" customWidth="1"/>
    <col min="2055" max="2055" width="10.140625" style="394" customWidth="1"/>
    <col min="2056" max="2056" width="2" style="394" bestFit="1" customWidth="1"/>
    <col min="2057" max="2057" width="39.42578125" style="394" customWidth="1"/>
    <col min="2058" max="2304" width="9" style="394"/>
    <col min="2305" max="2305" width="7.42578125" style="394" bestFit="1" customWidth="1"/>
    <col min="2306" max="2306" width="37.42578125" style="394" customWidth="1"/>
    <col min="2307" max="2307" width="14.140625" style="394" customWidth="1"/>
    <col min="2308" max="2308" width="6.140625" style="394" customWidth="1"/>
    <col min="2309" max="2309" width="12.28515625" style="394" customWidth="1"/>
    <col min="2310" max="2310" width="15.42578125" style="394" customWidth="1"/>
    <col min="2311" max="2311" width="10.140625" style="394" customWidth="1"/>
    <col min="2312" max="2312" width="2" style="394" bestFit="1" customWidth="1"/>
    <col min="2313" max="2313" width="39.42578125" style="394" customWidth="1"/>
    <col min="2314" max="2560" width="9" style="394"/>
    <col min="2561" max="2561" width="7.42578125" style="394" bestFit="1" customWidth="1"/>
    <col min="2562" max="2562" width="37.42578125" style="394" customWidth="1"/>
    <col min="2563" max="2563" width="14.140625" style="394" customWidth="1"/>
    <col min="2564" max="2564" width="6.140625" style="394" customWidth="1"/>
    <col min="2565" max="2565" width="12.28515625" style="394" customWidth="1"/>
    <col min="2566" max="2566" width="15.42578125" style="394" customWidth="1"/>
    <col min="2567" max="2567" width="10.140625" style="394" customWidth="1"/>
    <col min="2568" max="2568" width="2" style="394" bestFit="1" customWidth="1"/>
    <col min="2569" max="2569" width="39.42578125" style="394" customWidth="1"/>
    <col min="2570" max="2816" width="9" style="394"/>
    <col min="2817" max="2817" width="7.42578125" style="394" bestFit="1" customWidth="1"/>
    <col min="2818" max="2818" width="37.42578125" style="394" customWidth="1"/>
    <col min="2819" max="2819" width="14.140625" style="394" customWidth="1"/>
    <col min="2820" max="2820" width="6.140625" style="394" customWidth="1"/>
    <col min="2821" max="2821" width="12.28515625" style="394" customWidth="1"/>
    <col min="2822" max="2822" width="15.42578125" style="394" customWidth="1"/>
    <col min="2823" max="2823" width="10.140625" style="394" customWidth="1"/>
    <col min="2824" max="2824" width="2" style="394" bestFit="1" customWidth="1"/>
    <col min="2825" max="2825" width="39.42578125" style="394" customWidth="1"/>
    <col min="2826" max="3072" width="9" style="394"/>
    <col min="3073" max="3073" width="7.42578125" style="394" bestFit="1" customWidth="1"/>
    <col min="3074" max="3074" width="37.42578125" style="394" customWidth="1"/>
    <col min="3075" max="3075" width="14.140625" style="394" customWidth="1"/>
    <col min="3076" max="3076" width="6.140625" style="394" customWidth="1"/>
    <col min="3077" max="3077" width="12.28515625" style="394" customWidth="1"/>
    <col min="3078" max="3078" width="15.42578125" style="394" customWidth="1"/>
    <col min="3079" max="3079" width="10.140625" style="394" customWidth="1"/>
    <col min="3080" max="3080" width="2" style="394" bestFit="1" customWidth="1"/>
    <col min="3081" max="3081" width="39.42578125" style="394" customWidth="1"/>
    <col min="3082" max="3328" width="9" style="394"/>
    <col min="3329" max="3329" width="7.42578125" style="394" bestFit="1" customWidth="1"/>
    <col min="3330" max="3330" width="37.42578125" style="394" customWidth="1"/>
    <col min="3331" max="3331" width="14.140625" style="394" customWidth="1"/>
    <col min="3332" max="3332" width="6.140625" style="394" customWidth="1"/>
    <col min="3333" max="3333" width="12.28515625" style="394" customWidth="1"/>
    <col min="3334" max="3334" width="15.42578125" style="394" customWidth="1"/>
    <col min="3335" max="3335" width="10.140625" style="394" customWidth="1"/>
    <col min="3336" max="3336" width="2" style="394" bestFit="1" customWidth="1"/>
    <col min="3337" max="3337" width="39.42578125" style="394" customWidth="1"/>
    <col min="3338" max="3584" width="9" style="394"/>
    <col min="3585" max="3585" width="7.42578125" style="394" bestFit="1" customWidth="1"/>
    <col min="3586" max="3586" width="37.42578125" style="394" customWidth="1"/>
    <col min="3587" max="3587" width="14.140625" style="394" customWidth="1"/>
    <col min="3588" max="3588" width="6.140625" style="394" customWidth="1"/>
    <col min="3589" max="3589" width="12.28515625" style="394" customWidth="1"/>
    <col min="3590" max="3590" width="15.42578125" style="394" customWidth="1"/>
    <col min="3591" max="3591" width="10.140625" style="394" customWidth="1"/>
    <col min="3592" max="3592" width="2" style="394" bestFit="1" customWidth="1"/>
    <col min="3593" max="3593" width="39.42578125" style="394" customWidth="1"/>
    <col min="3594" max="3840" width="9" style="394"/>
    <col min="3841" max="3841" width="7.42578125" style="394" bestFit="1" customWidth="1"/>
    <col min="3842" max="3842" width="37.42578125" style="394" customWidth="1"/>
    <col min="3843" max="3843" width="14.140625" style="394" customWidth="1"/>
    <col min="3844" max="3844" width="6.140625" style="394" customWidth="1"/>
    <col min="3845" max="3845" width="12.28515625" style="394" customWidth="1"/>
    <col min="3846" max="3846" width="15.42578125" style="394" customWidth="1"/>
    <col min="3847" max="3847" width="10.140625" style="394" customWidth="1"/>
    <col min="3848" max="3848" width="2" style="394" bestFit="1" customWidth="1"/>
    <col min="3849" max="3849" width="39.42578125" style="394" customWidth="1"/>
    <col min="3850" max="4096" width="9" style="394"/>
    <col min="4097" max="4097" width="7.42578125" style="394" bestFit="1" customWidth="1"/>
    <col min="4098" max="4098" width="37.42578125" style="394" customWidth="1"/>
    <col min="4099" max="4099" width="14.140625" style="394" customWidth="1"/>
    <col min="4100" max="4100" width="6.140625" style="394" customWidth="1"/>
    <col min="4101" max="4101" width="12.28515625" style="394" customWidth="1"/>
    <col min="4102" max="4102" width="15.42578125" style="394" customWidth="1"/>
    <col min="4103" max="4103" width="10.140625" style="394" customWidth="1"/>
    <col min="4104" max="4104" width="2" style="394" bestFit="1" customWidth="1"/>
    <col min="4105" max="4105" width="39.42578125" style="394" customWidth="1"/>
    <col min="4106" max="4352" width="9" style="394"/>
    <col min="4353" max="4353" width="7.42578125" style="394" bestFit="1" customWidth="1"/>
    <col min="4354" max="4354" width="37.42578125" style="394" customWidth="1"/>
    <col min="4355" max="4355" width="14.140625" style="394" customWidth="1"/>
    <col min="4356" max="4356" width="6.140625" style="394" customWidth="1"/>
    <col min="4357" max="4357" width="12.28515625" style="394" customWidth="1"/>
    <col min="4358" max="4358" width="15.42578125" style="394" customWidth="1"/>
    <col min="4359" max="4359" width="10.140625" style="394" customWidth="1"/>
    <col min="4360" max="4360" width="2" style="394" bestFit="1" customWidth="1"/>
    <col min="4361" max="4361" width="39.42578125" style="394" customWidth="1"/>
    <col min="4362" max="4608" width="9" style="394"/>
    <col min="4609" max="4609" width="7.42578125" style="394" bestFit="1" customWidth="1"/>
    <col min="4610" max="4610" width="37.42578125" style="394" customWidth="1"/>
    <col min="4611" max="4611" width="14.140625" style="394" customWidth="1"/>
    <col min="4612" max="4612" width="6.140625" style="394" customWidth="1"/>
    <col min="4613" max="4613" width="12.28515625" style="394" customWidth="1"/>
    <col min="4614" max="4614" width="15.42578125" style="394" customWidth="1"/>
    <col min="4615" max="4615" width="10.140625" style="394" customWidth="1"/>
    <col min="4616" max="4616" width="2" style="394" bestFit="1" customWidth="1"/>
    <col min="4617" max="4617" width="39.42578125" style="394" customWidth="1"/>
    <col min="4618" max="4864" width="9" style="394"/>
    <col min="4865" max="4865" width="7.42578125" style="394" bestFit="1" customWidth="1"/>
    <col min="4866" max="4866" width="37.42578125" style="394" customWidth="1"/>
    <col min="4867" max="4867" width="14.140625" style="394" customWidth="1"/>
    <col min="4868" max="4868" width="6.140625" style="394" customWidth="1"/>
    <col min="4869" max="4869" width="12.28515625" style="394" customWidth="1"/>
    <col min="4870" max="4870" width="15.42578125" style="394" customWidth="1"/>
    <col min="4871" max="4871" width="10.140625" style="394" customWidth="1"/>
    <col min="4872" max="4872" width="2" style="394" bestFit="1" customWidth="1"/>
    <col min="4873" max="4873" width="39.42578125" style="394" customWidth="1"/>
    <col min="4874" max="5120" width="9" style="394"/>
    <col min="5121" max="5121" width="7.42578125" style="394" bestFit="1" customWidth="1"/>
    <col min="5122" max="5122" width="37.42578125" style="394" customWidth="1"/>
    <col min="5123" max="5123" width="14.140625" style="394" customWidth="1"/>
    <col min="5124" max="5124" width="6.140625" style="394" customWidth="1"/>
    <col min="5125" max="5125" width="12.28515625" style="394" customWidth="1"/>
    <col min="5126" max="5126" width="15.42578125" style="394" customWidth="1"/>
    <col min="5127" max="5127" width="10.140625" style="394" customWidth="1"/>
    <col min="5128" max="5128" width="2" style="394" bestFit="1" customWidth="1"/>
    <col min="5129" max="5129" width="39.42578125" style="394" customWidth="1"/>
    <col min="5130" max="5376" width="9" style="394"/>
    <col min="5377" max="5377" width="7.42578125" style="394" bestFit="1" customWidth="1"/>
    <col min="5378" max="5378" width="37.42578125" style="394" customWidth="1"/>
    <col min="5379" max="5379" width="14.140625" style="394" customWidth="1"/>
    <col min="5380" max="5380" width="6.140625" style="394" customWidth="1"/>
    <col min="5381" max="5381" width="12.28515625" style="394" customWidth="1"/>
    <col min="5382" max="5382" width="15.42578125" style="394" customWidth="1"/>
    <col min="5383" max="5383" width="10.140625" style="394" customWidth="1"/>
    <col min="5384" max="5384" width="2" style="394" bestFit="1" customWidth="1"/>
    <col min="5385" max="5385" width="39.42578125" style="394" customWidth="1"/>
    <col min="5386" max="5632" width="9" style="394"/>
    <col min="5633" max="5633" width="7.42578125" style="394" bestFit="1" customWidth="1"/>
    <col min="5634" max="5634" width="37.42578125" style="394" customWidth="1"/>
    <col min="5635" max="5635" width="14.140625" style="394" customWidth="1"/>
    <col min="5636" max="5636" width="6.140625" style="394" customWidth="1"/>
    <col min="5637" max="5637" width="12.28515625" style="394" customWidth="1"/>
    <col min="5638" max="5638" width="15.42578125" style="394" customWidth="1"/>
    <col min="5639" max="5639" width="10.140625" style="394" customWidth="1"/>
    <col min="5640" max="5640" width="2" style="394" bestFit="1" customWidth="1"/>
    <col min="5641" max="5641" width="39.42578125" style="394" customWidth="1"/>
    <col min="5642" max="5888" width="9" style="394"/>
    <col min="5889" max="5889" width="7.42578125" style="394" bestFit="1" customWidth="1"/>
    <col min="5890" max="5890" width="37.42578125" style="394" customWidth="1"/>
    <col min="5891" max="5891" width="14.140625" style="394" customWidth="1"/>
    <col min="5892" max="5892" width="6.140625" style="394" customWidth="1"/>
    <col min="5893" max="5893" width="12.28515625" style="394" customWidth="1"/>
    <col min="5894" max="5894" width="15.42578125" style="394" customWidth="1"/>
    <col min="5895" max="5895" width="10.140625" style="394" customWidth="1"/>
    <col min="5896" max="5896" width="2" style="394" bestFit="1" customWidth="1"/>
    <col min="5897" max="5897" width="39.42578125" style="394" customWidth="1"/>
    <col min="5898" max="6144" width="9" style="394"/>
    <col min="6145" max="6145" width="7.42578125" style="394" bestFit="1" customWidth="1"/>
    <col min="6146" max="6146" width="37.42578125" style="394" customWidth="1"/>
    <col min="6147" max="6147" width="14.140625" style="394" customWidth="1"/>
    <col min="6148" max="6148" width="6.140625" style="394" customWidth="1"/>
    <col min="6149" max="6149" width="12.28515625" style="394" customWidth="1"/>
    <col min="6150" max="6150" width="15.42578125" style="394" customWidth="1"/>
    <col min="6151" max="6151" width="10.140625" style="394" customWidth="1"/>
    <col min="6152" max="6152" width="2" style="394" bestFit="1" customWidth="1"/>
    <col min="6153" max="6153" width="39.42578125" style="394" customWidth="1"/>
    <col min="6154" max="6400" width="9" style="394"/>
    <col min="6401" max="6401" width="7.42578125" style="394" bestFit="1" customWidth="1"/>
    <col min="6402" max="6402" width="37.42578125" style="394" customWidth="1"/>
    <col min="6403" max="6403" width="14.140625" style="394" customWidth="1"/>
    <col min="6404" max="6404" width="6.140625" style="394" customWidth="1"/>
    <col min="6405" max="6405" width="12.28515625" style="394" customWidth="1"/>
    <col min="6406" max="6406" width="15.42578125" style="394" customWidth="1"/>
    <col min="6407" max="6407" width="10.140625" style="394" customWidth="1"/>
    <col min="6408" max="6408" width="2" style="394" bestFit="1" customWidth="1"/>
    <col min="6409" max="6409" width="39.42578125" style="394" customWidth="1"/>
    <col min="6410" max="6656" width="9" style="394"/>
    <col min="6657" max="6657" width="7.42578125" style="394" bestFit="1" customWidth="1"/>
    <col min="6658" max="6658" width="37.42578125" style="394" customWidth="1"/>
    <col min="6659" max="6659" width="14.140625" style="394" customWidth="1"/>
    <col min="6660" max="6660" width="6.140625" style="394" customWidth="1"/>
    <col min="6661" max="6661" width="12.28515625" style="394" customWidth="1"/>
    <col min="6662" max="6662" width="15.42578125" style="394" customWidth="1"/>
    <col min="6663" max="6663" width="10.140625" style="394" customWidth="1"/>
    <col min="6664" max="6664" width="2" style="394" bestFit="1" customWidth="1"/>
    <col min="6665" max="6665" width="39.42578125" style="394" customWidth="1"/>
    <col min="6666" max="6912" width="9" style="394"/>
    <col min="6913" max="6913" width="7.42578125" style="394" bestFit="1" customWidth="1"/>
    <col min="6914" max="6914" width="37.42578125" style="394" customWidth="1"/>
    <col min="6915" max="6915" width="14.140625" style="394" customWidth="1"/>
    <col min="6916" max="6916" width="6.140625" style="394" customWidth="1"/>
    <col min="6917" max="6917" width="12.28515625" style="394" customWidth="1"/>
    <col min="6918" max="6918" width="15.42578125" style="394" customWidth="1"/>
    <col min="6919" max="6919" width="10.140625" style="394" customWidth="1"/>
    <col min="6920" max="6920" width="2" style="394" bestFit="1" customWidth="1"/>
    <col min="6921" max="6921" width="39.42578125" style="394" customWidth="1"/>
    <col min="6922" max="7168" width="9" style="394"/>
    <col min="7169" max="7169" width="7.42578125" style="394" bestFit="1" customWidth="1"/>
    <col min="7170" max="7170" width="37.42578125" style="394" customWidth="1"/>
    <col min="7171" max="7171" width="14.140625" style="394" customWidth="1"/>
    <col min="7172" max="7172" width="6.140625" style="394" customWidth="1"/>
    <col min="7173" max="7173" width="12.28515625" style="394" customWidth="1"/>
    <col min="7174" max="7174" width="15.42578125" style="394" customWidth="1"/>
    <col min="7175" max="7175" width="10.140625" style="394" customWidth="1"/>
    <col min="7176" max="7176" width="2" style="394" bestFit="1" customWidth="1"/>
    <col min="7177" max="7177" width="39.42578125" style="394" customWidth="1"/>
    <col min="7178" max="7424" width="9" style="394"/>
    <col min="7425" max="7425" width="7.42578125" style="394" bestFit="1" customWidth="1"/>
    <col min="7426" max="7426" width="37.42578125" style="394" customWidth="1"/>
    <col min="7427" max="7427" width="14.140625" style="394" customWidth="1"/>
    <col min="7428" max="7428" width="6.140625" style="394" customWidth="1"/>
    <col min="7429" max="7429" width="12.28515625" style="394" customWidth="1"/>
    <col min="7430" max="7430" width="15.42578125" style="394" customWidth="1"/>
    <col min="7431" max="7431" width="10.140625" style="394" customWidth="1"/>
    <col min="7432" max="7432" width="2" style="394" bestFit="1" customWidth="1"/>
    <col min="7433" max="7433" width="39.42578125" style="394" customWidth="1"/>
    <col min="7434" max="7680" width="9" style="394"/>
    <col min="7681" max="7681" width="7.42578125" style="394" bestFit="1" customWidth="1"/>
    <col min="7682" max="7682" width="37.42578125" style="394" customWidth="1"/>
    <col min="7683" max="7683" width="14.140625" style="394" customWidth="1"/>
    <col min="7684" max="7684" width="6.140625" style="394" customWidth="1"/>
    <col min="7685" max="7685" width="12.28515625" style="394" customWidth="1"/>
    <col min="7686" max="7686" width="15.42578125" style="394" customWidth="1"/>
    <col min="7687" max="7687" width="10.140625" style="394" customWidth="1"/>
    <col min="7688" max="7688" width="2" style="394" bestFit="1" customWidth="1"/>
    <col min="7689" max="7689" width="39.42578125" style="394" customWidth="1"/>
    <col min="7690" max="7936" width="9" style="394"/>
    <col min="7937" max="7937" width="7.42578125" style="394" bestFit="1" customWidth="1"/>
    <col min="7938" max="7938" width="37.42578125" style="394" customWidth="1"/>
    <col min="7939" max="7939" width="14.140625" style="394" customWidth="1"/>
    <col min="7940" max="7940" width="6.140625" style="394" customWidth="1"/>
    <col min="7941" max="7941" width="12.28515625" style="394" customWidth="1"/>
    <col min="7942" max="7942" width="15.42578125" style="394" customWidth="1"/>
    <col min="7943" max="7943" width="10.140625" style="394" customWidth="1"/>
    <col min="7944" max="7944" width="2" style="394" bestFit="1" customWidth="1"/>
    <col min="7945" max="7945" width="39.42578125" style="394" customWidth="1"/>
    <col min="7946" max="8192" width="9" style="394"/>
    <col min="8193" max="8193" width="7.42578125" style="394" bestFit="1" customWidth="1"/>
    <col min="8194" max="8194" width="37.42578125" style="394" customWidth="1"/>
    <col min="8195" max="8195" width="14.140625" style="394" customWidth="1"/>
    <col min="8196" max="8196" width="6.140625" style="394" customWidth="1"/>
    <col min="8197" max="8197" width="12.28515625" style="394" customWidth="1"/>
    <col min="8198" max="8198" width="15.42578125" style="394" customWidth="1"/>
    <col min="8199" max="8199" width="10.140625" style="394" customWidth="1"/>
    <col min="8200" max="8200" width="2" style="394" bestFit="1" customWidth="1"/>
    <col min="8201" max="8201" width="39.42578125" style="394" customWidth="1"/>
    <col min="8202" max="8448" width="9" style="394"/>
    <col min="8449" max="8449" width="7.42578125" style="394" bestFit="1" customWidth="1"/>
    <col min="8450" max="8450" width="37.42578125" style="394" customWidth="1"/>
    <col min="8451" max="8451" width="14.140625" style="394" customWidth="1"/>
    <col min="8452" max="8452" width="6.140625" style="394" customWidth="1"/>
    <col min="8453" max="8453" width="12.28515625" style="394" customWidth="1"/>
    <col min="8454" max="8454" width="15.42578125" style="394" customWidth="1"/>
    <col min="8455" max="8455" width="10.140625" style="394" customWidth="1"/>
    <col min="8456" max="8456" width="2" style="394" bestFit="1" customWidth="1"/>
    <col min="8457" max="8457" width="39.42578125" style="394" customWidth="1"/>
    <col min="8458" max="8704" width="9" style="394"/>
    <col min="8705" max="8705" width="7.42578125" style="394" bestFit="1" customWidth="1"/>
    <col min="8706" max="8706" width="37.42578125" style="394" customWidth="1"/>
    <col min="8707" max="8707" width="14.140625" style="394" customWidth="1"/>
    <col min="8708" max="8708" width="6.140625" style="394" customWidth="1"/>
    <col min="8709" max="8709" width="12.28515625" style="394" customWidth="1"/>
    <col min="8710" max="8710" width="15.42578125" style="394" customWidth="1"/>
    <col min="8711" max="8711" width="10.140625" style="394" customWidth="1"/>
    <col min="8712" max="8712" width="2" style="394" bestFit="1" customWidth="1"/>
    <col min="8713" max="8713" width="39.42578125" style="394" customWidth="1"/>
    <col min="8714" max="8960" width="9" style="394"/>
    <col min="8961" max="8961" width="7.42578125" style="394" bestFit="1" customWidth="1"/>
    <col min="8962" max="8962" width="37.42578125" style="394" customWidth="1"/>
    <col min="8963" max="8963" width="14.140625" style="394" customWidth="1"/>
    <col min="8964" max="8964" width="6.140625" style="394" customWidth="1"/>
    <col min="8965" max="8965" width="12.28515625" style="394" customWidth="1"/>
    <col min="8966" max="8966" width="15.42578125" style="394" customWidth="1"/>
    <col min="8967" max="8967" width="10.140625" style="394" customWidth="1"/>
    <col min="8968" max="8968" width="2" style="394" bestFit="1" customWidth="1"/>
    <col min="8969" max="8969" width="39.42578125" style="394" customWidth="1"/>
    <col min="8970" max="9216" width="9" style="394"/>
    <col min="9217" max="9217" width="7.42578125" style="394" bestFit="1" customWidth="1"/>
    <col min="9218" max="9218" width="37.42578125" style="394" customWidth="1"/>
    <col min="9219" max="9219" width="14.140625" style="394" customWidth="1"/>
    <col min="9220" max="9220" width="6.140625" style="394" customWidth="1"/>
    <col min="9221" max="9221" width="12.28515625" style="394" customWidth="1"/>
    <col min="9222" max="9222" width="15.42578125" style="394" customWidth="1"/>
    <col min="9223" max="9223" width="10.140625" style="394" customWidth="1"/>
    <col min="9224" max="9224" width="2" style="394" bestFit="1" customWidth="1"/>
    <col min="9225" max="9225" width="39.42578125" style="394" customWidth="1"/>
    <col min="9226" max="9472" width="9" style="394"/>
    <col min="9473" max="9473" width="7.42578125" style="394" bestFit="1" customWidth="1"/>
    <col min="9474" max="9474" width="37.42578125" style="394" customWidth="1"/>
    <col min="9475" max="9475" width="14.140625" style="394" customWidth="1"/>
    <col min="9476" max="9476" width="6.140625" style="394" customWidth="1"/>
    <col min="9477" max="9477" width="12.28515625" style="394" customWidth="1"/>
    <col min="9478" max="9478" width="15.42578125" style="394" customWidth="1"/>
    <col min="9479" max="9479" width="10.140625" style="394" customWidth="1"/>
    <col min="9480" max="9480" width="2" style="394" bestFit="1" customWidth="1"/>
    <col min="9481" max="9481" width="39.42578125" style="394" customWidth="1"/>
    <col min="9482" max="9728" width="9" style="394"/>
    <col min="9729" max="9729" width="7.42578125" style="394" bestFit="1" customWidth="1"/>
    <col min="9730" max="9730" width="37.42578125" style="394" customWidth="1"/>
    <col min="9731" max="9731" width="14.140625" style="394" customWidth="1"/>
    <col min="9732" max="9732" width="6.140625" style="394" customWidth="1"/>
    <col min="9733" max="9733" width="12.28515625" style="394" customWidth="1"/>
    <col min="9734" max="9734" width="15.42578125" style="394" customWidth="1"/>
    <col min="9735" max="9735" width="10.140625" style="394" customWidth="1"/>
    <col min="9736" max="9736" width="2" style="394" bestFit="1" customWidth="1"/>
    <col min="9737" max="9737" width="39.42578125" style="394" customWidth="1"/>
    <col min="9738" max="9984" width="9" style="394"/>
    <col min="9985" max="9985" width="7.42578125" style="394" bestFit="1" customWidth="1"/>
    <col min="9986" max="9986" width="37.42578125" style="394" customWidth="1"/>
    <col min="9987" max="9987" width="14.140625" style="394" customWidth="1"/>
    <col min="9988" max="9988" width="6.140625" style="394" customWidth="1"/>
    <col min="9989" max="9989" width="12.28515625" style="394" customWidth="1"/>
    <col min="9990" max="9990" width="15.42578125" style="394" customWidth="1"/>
    <col min="9991" max="9991" width="10.140625" style="394" customWidth="1"/>
    <col min="9992" max="9992" width="2" style="394" bestFit="1" customWidth="1"/>
    <col min="9993" max="9993" width="39.42578125" style="394" customWidth="1"/>
    <col min="9994" max="10240" width="9" style="394"/>
    <col min="10241" max="10241" width="7.42578125" style="394" bestFit="1" customWidth="1"/>
    <col min="10242" max="10242" width="37.42578125" style="394" customWidth="1"/>
    <col min="10243" max="10243" width="14.140625" style="394" customWidth="1"/>
    <col min="10244" max="10244" width="6.140625" style="394" customWidth="1"/>
    <col min="10245" max="10245" width="12.28515625" style="394" customWidth="1"/>
    <col min="10246" max="10246" width="15.42578125" style="394" customWidth="1"/>
    <col min="10247" max="10247" width="10.140625" style="394" customWidth="1"/>
    <col min="10248" max="10248" width="2" style="394" bestFit="1" customWidth="1"/>
    <col min="10249" max="10249" width="39.42578125" style="394" customWidth="1"/>
    <col min="10250" max="10496" width="9" style="394"/>
    <col min="10497" max="10497" width="7.42578125" style="394" bestFit="1" customWidth="1"/>
    <col min="10498" max="10498" width="37.42578125" style="394" customWidth="1"/>
    <col min="10499" max="10499" width="14.140625" style="394" customWidth="1"/>
    <col min="10500" max="10500" width="6.140625" style="394" customWidth="1"/>
    <col min="10501" max="10501" width="12.28515625" style="394" customWidth="1"/>
    <col min="10502" max="10502" width="15.42578125" style="394" customWidth="1"/>
    <col min="10503" max="10503" width="10.140625" style="394" customWidth="1"/>
    <col min="10504" max="10504" width="2" style="394" bestFit="1" customWidth="1"/>
    <col min="10505" max="10505" width="39.42578125" style="394" customWidth="1"/>
    <col min="10506" max="10752" width="9" style="394"/>
    <col min="10753" max="10753" width="7.42578125" style="394" bestFit="1" customWidth="1"/>
    <col min="10754" max="10754" width="37.42578125" style="394" customWidth="1"/>
    <col min="10755" max="10755" width="14.140625" style="394" customWidth="1"/>
    <col min="10756" max="10756" width="6.140625" style="394" customWidth="1"/>
    <col min="10757" max="10757" width="12.28515625" style="394" customWidth="1"/>
    <col min="10758" max="10758" width="15.42578125" style="394" customWidth="1"/>
    <col min="10759" max="10759" width="10.140625" style="394" customWidth="1"/>
    <col min="10760" max="10760" width="2" style="394" bestFit="1" customWidth="1"/>
    <col min="10761" max="10761" width="39.42578125" style="394" customWidth="1"/>
    <col min="10762" max="11008" width="9" style="394"/>
    <col min="11009" max="11009" width="7.42578125" style="394" bestFit="1" customWidth="1"/>
    <col min="11010" max="11010" width="37.42578125" style="394" customWidth="1"/>
    <col min="11011" max="11011" width="14.140625" style="394" customWidth="1"/>
    <col min="11012" max="11012" width="6.140625" style="394" customWidth="1"/>
    <col min="11013" max="11013" width="12.28515625" style="394" customWidth="1"/>
    <col min="11014" max="11014" width="15.42578125" style="394" customWidth="1"/>
    <col min="11015" max="11015" width="10.140625" style="394" customWidth="1"/>
    <col min="11016" max="11016" width="2" style="394" bestFit="1" customWidth="1"/>
    <col min="11017" max="11017" width="39.42578125" style="394" customWidth="1"/>
    <col min="11018" max="11264" width="9" style="394"/>
    <col min="11265" max="11265" width="7.42578125" style="394" bestFit="1" customWidth="1"/>
    <col min="11266" max="11266" width="37.42578125" style="394" customWidth="1"/>
    <col min="11267" max="11267" width="14.140625" style="394" customWidth="1"/>
    <col min="11268" max="11268" width="6.140625" style="394" customWidth="1"/>
    <col min="11269" max="11269" width="12.28515625" style="394" customWidth="1"/>
    <col min="11270" max="11270" width="15.42578125" style="394" customWidth="1"/>
    <col min="11271" max="11271" width="10.140625" style="394" customWidth="1"/>
    <col min="11272" max="11272" width="2" style="394" bestFit="1" customWidth="1"/>
    <col min="11273" max="11273" width="39.42578125" style="394" customWidth="1"/>
    <col min="11274" max="11520" width="9" style="394"/>
    <col min="11521" max="11521" width="7.42578125" style="394" bestFit="1" customWidth="1"/>
    <col min="11522" max="11522" width="37.42578125" style="394" customWidth="1"/>
    <col min="11523" max="11523" width="14.140625" style="394" customWidth="1"/>
    <col min="11524" max="11524" width="6.140625" style="394" customWidth="1"/>
    <col min="11525" max="11525" width="12.28515625" style="394" customWidth="1"/>
    <col min="11526" max="11526" width="15.42578125" style="394" customWidth="1"/>
    <col min="11527" max="11527" width="10.140625" style="394" customWidth="1"/>
    <col min="11528" max="11528" width="2" style="394" bestFit="1" customWidth="1"/>
    <col min="11529" max="11529" width="39.42578125" style="394" customWidth="1"/>
    <col min="11530" max="11776" width="9" style="394"/>
    <col min="11777" max="11777" width="7.42578125" style="394" bestFit="1" customWidth="1"/>
    <col min="11778" max="11778" width="37.42578125" style="394" customWidth="1"/>
    <col min="11779" max="11779" width="14.140625" style="394" customWidth="1"/>
    <col min="11780" max="11780" width="6.140625" style="394" customWidth="1"/>
    <col min="11781" max="11781" width="12.28515625" style="394" customWidth="1"/>
    <col min="11782" max="11782" width="15.42578125" style="394" customWidth="1"/>
    <col min="11783" max="11783" width="10.140625" style="394" customWidth="1"/>
    <col min="11784" max="11784" width="2" style="394" bestFit="1" customWidth="1"/>
    <col min="11785" max="11785" width="39.42578125" style="394" customWidth="1"/>
    <col min="11786" max="12032" width="9" style="394"/>
    <col min="12033" max="12033" width="7.42578125" style="394" bestFit="1" customWidth="1"/>
    <col min="12034" max="12034" width="37.42578125" style="394" customWidth="1"/>
    <col min="12035" max="12035" width="14.140625" style="394" customWidth="1"/>
    <col min="12036" max="12036" width="6.140625" style="394" customWidth="1"/>
    <col min="12037" max="12037" width="12.28515625" style="394" customWidth="1"/>
    <col min="12038" max="12038" width="15.42578125" style="394" customWidth="1"/>
    <col min="12039" max="12039" width="10.140625" style="394" customWidth="1"/>
    <col min="12040" max="12040" width="2" style="394" bestFit="1" customWidth="1"/>
    <col min="12041" max="12041" width="39.42578125" style="394" customWidth="1"/>
    <col min="12042" max="12288" width="9" style="394"/>
    <col min="12289" max="12289" width="7.42578125" style="394" bestFit="1" customWidth="1"/>
    <col min="12290" max="12290" width="37.42578125" style="394" customWidth="1"/>
    <col min="12291" max="12291" width="14.140625" style="394" customWidth="1"/>
    <col min="12292" max="12292" width="6.140625" style="394" customWidth="1"/>
    <col min="12293" max="12293" width="12.28515625" style="394" customWidth="1"/>
    <col min="12294" max="12294" width="15.42578125" style="394" customWidth="1"/>
    <col min="12295" max="12295" width="10.140625" style="394" customWidth="1"/>
    <col min="12296" max="12296" width="2" style="394" bestFit="1" customWidth="1"/>
    <col min="12297" max="12297" width="39.42578125" style="394" customWidth="1"/>
    <col min="12298" max="12544" width="9" style="394"/>
    <col min="12545" max="12545" width="7.42578125" style="394" bestFit="1" customWidth="1"/>
    <col min="12546" max="12546" width="37.42578125" style="394" customWidth="1"/>
    <col min="12547" max="12547" width="14.140625" style="394" customWidth="1"/>
    <col min="12548" max="12548" width="6.140625" style="394" customWidth="1"/>
    <col min="12549" max="12549" width="12.28515625" style="394" customWidth="1"/>
    <col min="12550" max="12550" width="15.42578125" style="394" customWidth="1"/>
    <col min="12551" max="12551" width="10.140625" style="394" customWidth="1"/>
    <col min="12552" max="12552" width="2" style="394" bestFit="1" customWidth="1"/>
    <col min="12553" max="12553" width="39.42578125" style="394" customWidth="1"/>
    <col min="12554" max="12800" width="9" style="394"/>
    <col min="12801" max="12801" width="7.42578125" style="394" bestFit="1" customWidth="1"/>
    <col min="12802" max="12802" width="37.42578125" style="394" customWidth="1"/>
    <col min="12803" max="12803" width="14.140625" style="394" customWidth="1"/>
    <col min="12804" max="12804" width="6.140625" style="394" customWidth="1"/>
    <col min="12805" max="12805" width="12.28515625" style="394" customWidth="1"/>
    <col min="12806" max="12806" width="15.42578125" style="394" customWidth="1"/>
    <col min="12807" max="12807" width="10.140625" style="394" customWidth="1"/>
    <col min="12808" max="12808" width="2" style="394" bestFit="1" customWidth="1"/>
    <col min="12809" max="12809" width="39.42578125" style="394" customWidth="1"/>
    <col min="12810" max="13056" width="9" style="394"/>
    <col min="13057" max="13057" width="7.42578125" style="394" bestFit="1" customWidth="1"/>
    <col min="13058" max="13058" width="37.42578125" style="394" customWidth="1"/>
    <col min="13059" max="13059" width="14.140625" style="394" customWidth="1"/>
    <col min="13060" max="13060" width="6.140625" style="394" customWidth="1"/>
    <col min="13061" max="13061" width="12.28515625" style="394" customWidth="1"/>
    <col min="13062" max="13062" width="15.42578125" style="394" customWidth="1"/>
    <col min="13063" max="13063" width="10.140625" style="394" customWidth="1"/>
    <col min="13064" max="13064" width="2" style="394" bestFit="1" customWidth="1"/>
    <col min="13065" max="13065" width="39.42578125" style="394" customWidth="1"/>
    <col min="13066" max="13312" width="9" style="394"/>
    <col min="13313" max="13313" width="7.42578125" style="394" bestFit="1" customWidth="1"/>
    <col min="13314" max="13314" width="37.42578125" style="394" customWidth="1"/>
    <col min="13315" max="13315" width="14.140625" style="394" customWidth="1"/>
    <col min="13316" max="13316" width="6.140625" style="394" customWidth="1"/>
    <col min="13317" max="13317" width="12.28515625" style="394" customWidth="1"/>
    <col min="13318" max="13318" width="15.42578125" style="394" customWidth="1"/>
    <col min="13319" max="13319" width="10.140625" style="394" customWidth="1"/>
    <col min="13320" max="13320" width="2" style="394" bestFit="1" customWidth="1"/>
    <col min="13321" max="13321" width="39.42578125" style="394" customWidth="1"/>
    <col min="13322" max="13568" width="9" style="394"/>
    <col min="13569" max="13569" width="7.42578125" style="394" bestFit="1" customWidth="1"/>
    <col min="13570" max="13570" width="37.42578125" style="394" customWidth="1"/>
    <col min="13571" max="13571" width="14.140625" style="394" customWidth="1"/>
    <col min="13572" max="13572" width="6.140625" style="394" customWidth="1"/>
    <col min="13573" max="13573" width="12.28515625" style="394" customWidth="1"/>
    <col min="13574" max="13574" width="15.42578125" style="394" customWidth="1"/>
    <col min="13575" max="13575" width="10.140625" style="394" customWidth="1"/>
    <col min="13576" max="13576" width="2" style="394" bestFit="1" customWidth="1"/>
    <col min="13577" max="13577" width="39.42578125" style="394" customWidth="1"/>
    <col min="13578" max="13824" width="9" style="394"/>
    <col min="13825" max="13825" width="7.42578125" style="394" bestFit="1" customWidth="1"/>
    <col min="13826" max="13826" width="37.42578125" style="394" customWidth="1"/>
    <col min="13827" max="13827" width="14.140625" style="394" customWidth="1"/>
    <col min="13828" max="13828" width="6.140625" style="394" customWidth="1"/>
    <col min="13829" max="13829" width="12.28515625" style="394" customWidth="1"/>
    <col min="13830" max="13830" width="15.42578125" style="394" customWidth="1"/>
    <col min="13831" max="13831" width="10.140625" style="394" customWidth="1"/>
    <col min="13832" max="13832" width="2" style="394" bestFit="1" customWidth="1"/>
    <col min="13833" max="13833" width="39.42578125" style="394" customWidth="1"/>
    <col min="13834" max="14080" width="9" style="394"/>
    <col min="14081" max="14081" width="7.42578125" style="394" bestFit="1" customWidth="1"/>
    <col min="14082" max="14082" width="37.42578125" style="394" customWidth="1"/>
    <col min="14083" max="14083" width="14.140625" style="394" customWidth="1"/>
    <col min="14084" max="14084" width="6.140625" style="394" customWidth="1"/>
    <col min="14085" max="14085" width="12.28515625" style="394" customWidth="1"/>
    <col min="14086" max="14086" width="15.42578125" style="394" customWidth="1"/>
    <col min="14087" max="14087" width="10.140625" style="394" customWidth="1"/>
    <col min="14088" max="14088" width="2" style="394" bestFit="1" customWidth="1"/>
    <col min="14089" max="14089" width="39.42578125" style="394" customWidth="1"/>
    <col min="14090" max="14336" width="9" style="394"/>
    <col min="14337" max="14337" width="7.42578125" style="394" bestFit="1" customWidth="1"/>
    <col min="14338" max="14338" width="37.42578125" style="394" customWidth="1"/>
    <col min="14339" max="14339" width="14.140625" style="394" customWidth="1"/>
    <col min="14340" max="14340" width="6.140625" style="394" customWidth="1"/>
    <col min="14341" max="14341" width="12.28515625" style="394" customWidth="1"/>
    <col min="14342" max="14342" width="15.42578125" style="394" customWidth="1"/>
    <col min="14343" max="14343" width="10.140625" style="394" customWidth="1"/>
    <col min="14344" max="14344" width="2" style="394" bestFit="1" customWidth="1"/>
    <col min="14345" max="14345" width="39.42578125" style="394" customWidth="1"/>
    <col min="14346" max="14592" width="9" style="394"/>
    <col min="14593" max="14593" width="7.42578125" style="394" bestFit="1" customWidth="1"/>
    <col min="14594" max="14594" width="37.42578125" style="394" customWidth="1"/>
    <col min="14595" max="14595" width="14.140625" style="394" customWidth="1"/>
    <col min="14596" max="14596" width="6.140625" style="394" customWidth="1"/>
    <col min="14597" max="14597" width="12.28515625" style="394" customWidth="1"/>
    <col min="14598" max="14598" width="15.42578125" style="394" customWidth="1"/>
    <col min="14599" max="14599" width="10.140625" style="394" customWidth="1"/>
    <col min="14600" max="14600" width="2" style="394" bestFit="1" customWidth="1"/>
    <col min="14601" max="14601" width="39.42578125" style="394" customWidth="1"/>
    <col min="14602" max="14848" width="9" style="394"/>
    <col min="14849" max="14849" width="7.42578125" style="394" bestFit="1" customWidth="1"/>
    <col min="14850" max="14850" width="37.42578125" style="394" customWidth="1"/>
    <col min="14851" max="14851" width="14.140625" style="394" customWidth="1"/>
    <col min="14852" max="14852" width="6.140625" style="394" customWidth="1"/>
    <col min="14853" max="14853" width="12.28515625" style="394" customWidth="1"/>
    <col min="14854" max="14854" width="15.42578125" style="394" customWidth="1"/>
    <col min="14855" max="14855" width="10.140625" style="394" customWidth="1"/>
    <col min="14856" max="14856" width="2" style="394" bestFit="1" customWidth="1"/>
    <col min="14857" max="14857" width="39.42578125" style="394" customWidth="1"/>
    <col min="14858" max="15104" width="9" style="394"/>
    <col min="15105" max="15105" width="7.42578125" style="394" bestFit="1" customWidth="1"/>
    <col min="15106" max="15106" width="37.42578125" style="394" customWidth="1"/>
    <col min="15107" max="15107" width="14.140625" style="394" customWidth="1"/>
    <col min="15108" max="15108" width="6.140625" style="394" customWidth="1"/>
    <col min="15109" max="15109" width="12.28515625" style="394" customWidth="1"/>
    <col min="15110" max="15110" width="15.42578125" style="394" customWidth="1"/>
    <col min="15111" max="15111" width="10.140625" style="394" customWidth="1"/>
    <col min="15112" max="15112" width="2" style="394" bestFit="1" customWidth="1"/>
    <col min="15113" max="15113" width="39.42578125" style="394" customWidth="1"/>
    <col min="15114" max="15360" width="9" style="394"/>
    <col min="15361" max="15361" width="7.42578125" style="394" bestFit="1" customWidth="1"/>
    <col min="15362" max="15362" width="37.42578125" style="394" customWidth="1"/>
    <col min="15363" max="15363" width="14.140625" style="394" customWidth="1"/>
    <col min="15364" max="15364" width="6.140625" style="394" customWidth="1"/>
    <col min="15365" max="15365" width="12.28515625" style="394" customWidth="1"/>
    <col min="15366" max="15366" width="15.42578125" style="394" customWidth="1"/>
    <col min="15367" max="15367" width="10.140625" style="394" customWidth="1"/>
    <col min="15368" max="15368" width="2" style="394" bestFit="1" customWidth="1"/>
    <col min="15369" max="15369" width="39.42578125" style="394" customWidth="1"/>
    <col min="15370" max="15616" width="9" style="394"/>
    <col min="15617" max="15617" width="7.42578125" style="394" bestFit="1" customWidth="1"/>
    <col min="15618" max="15618" width="37.42578125" style="394" customWidth="1"/>
    <col min="15619" max="15619" width="14.140625" style="394" customWidth="1"/>
    <col min="15620" max="15620" width="6.140625" style="394" customWidth="1"/>
    <col min="15621" max="15621" width="12.28515625" style="394" customWidth="1"/>
    <col min="15622" max="15622" width="15.42578125" style="394" customWidth="1"/>
    <col min="15623" max="15623" width="10.140625" style="394" customWidth="1"/>
    <col min="15624" max="15624" width="2" style="394" bestFit="1" customWidth="1"/>
    <col min="15625" max="15625" width="39.42578125" style="394" customWidth="1"/>
    <col min="15626" max="15872" width="9" style="394"/>
    <col min="15873" max="15873" width="7.42578125" style="394" bestFit="1" customWidth="1"/>
    <col min="15874" max="15874" width="37.42578125" style="394" customWidth="1"/>
    <col min="15875" max="15875" width="14.140625" style="394" customWidth="1"/>
    <col min="15876" max="15876" width="6.140625" style="394" customWidth="1"/>
    <col min="15877" max="15877" width="12.28515625" style="394" customWidth="1"/>
    <col min="15878" max="15878" width="15.42578125" style="394" customWidth="1"/>
    <col min="15879" max="15879" width="10.140625" style="394" customWidth="1"/>
    <col min="15880" max="15880" width="2" style="394" bestFit="1" customWidth="1"/>
    <col min="15881" max="15881" width="39.42578125" style="394" customWidth="1"/>
    <col min="15882" max="16128" width="9" style="394"/>
    <col min="16129" max="16129" width="7.42578125" style="394" bestFit="1" customWidth="1"/>
    <col min="16130" max="16130" width="37.42578125" style="394" customWidth="1"/>
    <col min="16131" max="16131" width="14.140625" style="394" customWidth="1"/>
    <col min="16132" max="16132" width="6.140625" style="394" customWidth="1"/>
    <col min="16133" max="16133" width="12.28515625" style="394" customWidth="1"/>
    <col min="16134" max="16134" width="15.42578125" style="394" customWidth="1"/>
    <col min="16135" max="16135" width="10.140625" style="394" customWidth="1"/>
    <col min="16136" max="16136" width="2" style="394" bestFit="1" customWidth="1"/>
    <col min="16137" max="16137" width="39.42578125" style="394" customWidth="1"/>
    <col min="16138" max="16384" width="9" style="394"/>
  </cols>
  <sheetData>
    <row r="1" spans="1:8" s="342" customFormat="1" ht="25.5">
      <c r="A1" s="337"/>
      <c r="B1" s="338" t="s">
        <v>241</v>
      </c>
      <c r="C1" s="463" t="s">
        <v>242</v>
      </c>
      <c r="D1" s="340" t="s">
        <v>243</v>
      </c>
      <c r="E1" s="339" t="s">
        <v>244</v>
      </c>
      <c r="F1" s="341" t="s">
        <v>245</v>
      </c>
    </row>
    <row r="2" spans="1:8" s="346" customFormat="1">
      <c r="A2" s="343"/>
      <c r="B2" s="344"/>
      <c r="C2" s="454"/>
      <c r="E2" s="345"/>
      <c r="F2" s="347"/>
    </row>
    <row r="3" spans="1:8" s="350" customFormat="1">
      <c r="A3" s="348" t="s">
        <v>179</v>
      </c>
      <c r="B3" s="349" t="s">
        <v>178</v>
      </c>
      <c r="C3" s="464"/>
      <c r="F3" s="351"/>
    </row>
    <row r="4" spans="1:8" s="352" customFormat="1">
      <c r="A4" s="343"/>
      <c r="B4" s="349"/>
      <c r="C4" s="465"/>
      <c r="F4" s="353"/>
    </row>
    <row r="5" spans="1:8" s="352" customFormat="1">
      <c r="A5" s="354" t="s">
        <v>246</v>
      </c>
      <c r="B5" s="355" t="s">
        <v>247</v>
      </c>
      <c r="C5" s="465"/>
      <c r="F5" s="353"/>
    </row>
    <row r="6" spans="1:8" s="346" customFormat="1">
      <c r="A6" s="343"/>
      <c r="B6" s="344"/>
      <c r="C6" s="466"/>
      <c r="F6" s="347"/>
    </row>
    <row r="7" spans="1:8" s="346" customFormat="1" ht="25.5">
      <c r="A7" s="343" t="s">
        <v>248</v>
      </c>
      <c r="B7" s="344" t="s">
        <v>249</v>
      </c>
      <c r="C7" s="466"/>
      <c r="F7" s="347"/>
    </row>
    <row r="8" spans="1:8" s="346" customFormat="1">
      <c r="A8" s="343"/>
      <c r="B8" s="344"/>
      <c r="C8" s="454">
        <f>K92</f>
        <v>254.08</v>
      </c>
      <c r="D8" s="346" t="s">
        <v>115</v>
      </c>
      <c r="E8" s="356"/>
      <c r="F8" s="357">
        <f>C8*E8</f>
        <v>0</v>
      </c>
      <c r="G8" s="345"/>
      <c r="H8" s="345"/>
    </row>
    <row r="9" spans="1:8" s="346" customFormat="1">
      <c r="A9" s="343"/>
      <c r="B9" s="344"/>
      <c r="C9" s="456"/>
      <c r="E9" s="356"/>
      <c r="F9" s="357"/>
      <c r="G9" s="345"/>
      <c r="H9" s="345"/>
    </row>
    <row r="10" spans="1:8" s="352" customFormat="1">
      <c r="A10" s="354" t="s">
        <v>246</v>
      </c>
      <c r="B10" s="355" t="s">
        <v>250</v>
      </c>
      <c r="C10" s="455"/>
      <c r="E10" s="360"/>
      <c r="F10" s="361">
        <f>SUM(F7:F9)</f>
        <v>0</v>
      </c>
      <c r="G10" s="345"/>
    </row>
    <row r="11" spans="1:8" s="352" customFormat="1">
      <c r="A11" s="354"/>
      <c r="B11" s="355"/>
      <c r="C11" s="455"/>
      <c r="E11" s="360"/>
      <c r="F11" s="361"/>
      <c r="G11" s="345"/>
    </row>
    <row r="12" spans="1:8" s="352" customFormat="1">
      <c r="A12" s="354"/>
      <c r="B12" s="355"/>
      <c r="C12" s="455"/>
      <c r="E12" s="360"/>
      <c r="F12" s="361"/>
      <c r="G12" s="345"/>
    </row>
    <row r="13" spans="1:8" s="352" customFormat="1" ht="25.5">
      <c r="A13" s="354" t="s">
        <v>251</v>
      </c>
      <c r="B13" s="355" t="s">
        <v>745</v>
      </c>
      <c r="C13" s="455"/>
      <c r="E13" s="360"/>
      <c r="F13" s="361"/>
      <c r="G13" s="345"/>
    </row>
    <row r="14" spans="1:8" s="352" customFormat="1">
      <c r="A14" s="354"/>
      <c r="B14" s="355"/>
      <c r="C14" s="455"/>
      <c r="E14" s="360"/>
      <c r="F14" s="361"/>
      <c r="G14" s="345"/>
    </row>
    <row r="15" spans="1:8" s="346" customFormat="1">
      <c r="A15" s="364"/>
      <c r="B15" s="344"/>
      <c r="C15" s="454"/>
      <c r="E15" s="356"/>
      <c r="F15" s="357"/>
      <c r="G15" s="345"/>
      <c r="H15" s="345"/>
    </row>
    <row r="16" spans="1:8" s="346" customFormat="1">
      <c r="A16" s="364"/>
      <c r="B16" s="344"/>
      <c r="C16" s="454"/>
      <c r="E16" s="356"/>
      <c r="F16" s="357"/>
      <c r="G16" s="345"/>
      <c r="H16" s="345"/>
    </row>
    <row r="17" spans="1:256" s="346" customFormat="1" ht="38.25">
      <c r="A17" s="364" t="s">
        <v>253</v>
      </c>
      <c r="B17" s="344" t="s">
        <v>254</v>
      </c>
      <c r="C17" s="454"/>
      <c r="E17" s="356"/>
      <c r="F17" s="357"/>
      <c r="G17" s="345"/>
      <c r="H17" s="345"/>
    </row>
    <row r="18" spans="1:256" s="346" customFormat="1">
      <c r="A18" s="364"/>
      <c r="B18" s="344"/>
      <c r="C18" s="454">
        <f>ROUND(C8/20,0)</f>
        <v>13</v>
      </c>
      <c r="D18" s="346" t="s">
        <v>5</v>
      </c>
      <c r="E18" s="356"/>
      <c r="F18" s="357">
        <f>C18*E18</f>
        <v>0</v>
      </c>
      <c r="G18" s="345"/>
      <c r="H18" s="345"/>
    </row>
    <row r="19" spans="1:256" s="346" customFormat="1">
      <c r="A19" s="364"/>
      <c r="B19" s="344"/>
      <c r="C19" s="456"/>
      <c r="E19" s="356"/>
      <c r="F19" s="357"/>
      <c r="G19" s="345"/>
      <c r="H19" s="345"/>
    </row>
    <row r="20" spans="1:256" s="346" customFormat="1">
      <c r="A20" s="364"/>
      <c r="B20" s="344"/>
      <c r="C20" s="454"/>
      <c r="E20" s="356"/>
      <c r="F20" s="357"/>
      <c r="G20" s="345"/>
      <c r="H20" s="345"/>
    </row>
    <row r="21" spans="1:256" s="346" customFormat="1">
      <c r="A21" s="364"/>
      <c r="B21" s="344"/>
      <c r="C21" s="454"/>
      <c r="E21" s="356"/>
      <c r="F21" s="357"/>
      <c r="G21" s="345"/>
      <c r="H21" s="345"/>
    </row>
    <row r="22" spans="1:256" s="352" customFormat="1">
      <c r="A22" s="354" t="s">
        <v>251</v>
      </c>
      <c r="B22" s="355" t="s">
        <v>256</v>
      </c>
      <c r="C22" s="455"/>
      <c r="E22" s="360"/>
      <c r="F22" s="361">
        <f>SUM(F15:F21)</f>
        <v>0</v>
      </c>
      <c r="G22" s="345"/>
    </row>
    <row r="23" spans="1:256" s="374" customFormat="1">
      <c r="A23" s="367"/>
      <c r="B23" s="368"/>
      <c r="C23" s="467"/>
      <c r="D23" s="370"/>
      <c r="E23" s="371"/>
      <c r="F23" s="372"/>
      <c r="G23" s="345"/>
      <c r="H23" s="373"/>
    </row>
    <row r="24" spans="1:256" s="350" customFormat="1">
      <c r="A24" s="348" t="s">
        <v>179</v>
      </c>
      <c r="B24" s="349" t="s">
        <v>257</v>
      </c>
      <c r="C24" s="468"/>
      <c r="E24" s="376"/>
      <c r="F24" s="377">
        <f>F10+F22</f>
        <v>0</v>
      </c>
      <c r="G24" s="345"/>
    </row>
    <row r="25" spans="1:256" s="346" customFormat="1">
      <c r="A25" s="343"/>
      <c r="B25" s="378"/>
      <c r="C25" s="456"/>
      <c r="D25" s="379"/>
      <c r="E25" s="356"/>
      <c r="F25" s="380"/>
      <c r="G25" s="345"/>
      <c r="H25" s="345"/>
    </row>
    <row r="26" spans="1:256" s="350" customFormat="1">
      <c r="A26" s="348" t="s">
        <v>177</v>
      </c>
      <c r="B26" s="349" t="s">
        <v>176</v>
      </c>
      <c r="C26" s="468"/>
      <c r="E26" s="376"/>
      <c r="F26" s="377"/>
      <c r="G26" s="381"/>
    </row>
    <row r="27" spans="1:256" s="389" customFormat="1" ht="11.25">
      <c r="A27" s="382"/>
      <c r="B27" s="383"/>
      <c r="C27" s="469"/>
      <c r="D27" s="385"/>
      <c r="E27" s="386"/>
      <c r="F27" s="387"/>
      <c r="G27" s="381"/>
      <c r="H27" s="388"/>
    </row>
    <row r="28" spans="1:256" s="390" customFormat="1">
      <c r="A28" s="354" t="s">
        <v>258</v>
      </c>
      <c r="B28" s="355" t="s">
        <v>470</v>
      </c>
      <c r="C28" s="455"/>
      <c r="D28" s="352"/>
      <c r="E28" s="360"/>
      <c r="F28" s="361"/>
      <c r="G28" s="381"/>
      <c r="IV28" s="391"/>
    </row>
    <row r="29" spans="1:256" s="390" customFormat="1">
      <c r="A29" s="354"/>
      <c r="B29" s="355"/>
      <c r="C29" s="455"/>
      <c r="D29" s="352"/>
      <c r="E29" s="360"/>
      <c r="F29" s="361"/>
      <c r="G29" s="381"/>
      <c r="J29" s="390" t="s">
        <v>221</v>
      </c>
      <c r="K29" s="390" t="s">
        <v>222</v>
      </c>
      <c r="L29" s="390" t="s">
        <v>223</v>
      </c>
      <c r="M29" s="390" t="s">
        <v>224</v>
      </c>
      <c r="N29" s="390" t="s">
        <v>225</v>
      </c>
      <c r="O29" s="390" t="s">
        <v>226</v>
      </c>
      <c r="P29" s="390" t="s">
        <v>227</v>
      </c>
      <c r="Q29" s="390" t="s">
        <v>228</v>
      </c>
      <c r="R29" s="390" t="s">
        <v>229</v>
      </c>
      <c r="S29" s="390" t="s">
        <v>230</v>
      </c>
      <c r="T29" s="390" t="s">
        <v>231</v>
      </c>
      <c r="U29" s="390" t="s">
        <v>232</v>
      </c>
      <c r="V29" s="390" t="s">
        <v>233</v>
      </c>
      <c r="W29" s="390" t="s">
        <v>234</v>
      </c>
      <c r="X29" s="390" t="s">
        <v>235</v>
      </c>
      <c r="Y29" s="390" t="s">
        <v>236</v>
      </c>
      <c r="Z29" s="390" t="s">
        <v>237</v>
      </c>
      <c r="IV29" s="391"/>
    </row>
    <row r="30" spans="1:256" s="390" customFormat="1" ht="38.25">
      <c r="A30" s="392"/>
      <c r="B30" s="393" t="s">
        <v>260</v>
      </c>
      <c r="C30" s="456"/>
      <c r="D30" s="346"/>
      <c r="E30" s="356"/>
      <c r="F30" s="357"/>
      <c r="G30" s="381"/>
      <c r="J30" s="390" t="s">
        <v>314</v>
      </c>
      <c r="K30" s="430"/>
      <c r="L30" s="430">
        <v>0</v>
      </c>
      <c r="M30" s="430">
        <v>0</v>
      </c>
      <c r="N30" s="430">
        <v>0</v>
      </c>
      <c r="O30" s="430">
        <v>260.8</v>
      </c>
      <c r="P30" s="430">
        <v>244.78</v>
      </c>
      <c r="Q30" s="430">
        <v>16.02</v>
      </c>
      <c r="R30" s="430">
        <v>0</v>
      </c>
      <c r="S30" s="430">
        <v>0</v>
      </c>
      <c r="T30" s="430">
        <v>0</v>
      </c>
      <c r="U30" s="430">
        <v>260.14999999999998</v>
      </c>
      <c r="V30" s="430">
        <v>220.73</v>
      </c>
      <c r="W30" s="430">
        <v>0</v>
      </c>
      <c r="X30" s="430">
        <v>31.94</v>
      </c>
      <c r="Y30" s="430">
        <v>7.48</v>
      </c>
      <c r="Z30" s="430">
        <v>220.73</v>
      </c>
      <c r="IV30" s="391"/>
    </row>
    <row r="31" spans="1:256" s="390" customFormat="1">
      <c r="A31" s="364"/>
      <c r="B31" s="393" t="s">
        <v>261</v>
      </c>
      <c r="C31" s="454">
        <f>C8*1</f>
        <v>254.08</v>
      </c>
      <c r="D31" s="346"/>
      <c r="E31" s="356"/>
      <c r="F31" s="357"/>
      <c r="G31" s="381"/>
      <c r="J31" s="390" t="s">
        <v>305</v>
      </c>
      <c r="K31" s="430"/>
      <c r="L31" s="430">
        <v>0</v>
      </c>
      <c r="M31" s="430">
        <v>0</v>
      </c>
      <c r="N31" s="430">
        <v>0</v>
      </c>
      <c r="O31" s="430">
        <v>235.53</v>
      </c>
      <c r="P31" s="430">
        <v>219.5</v>
      </c>
      <c r="Q31" s="430">
        <v>16.02</v>
      </c>
      <c r="R31" s="430">
        <v>0</v>
      </c>
      <c r="S31" s="430">
        <v>0</v>
      </c>
      <c r="T31" s="430">
        <v>0</v>
      </c>
      <c r="U31" s="430">
        <v>234.89</v>
      </c>
      <c r="V31" s="430">
        <v>202.54</v>
      </c>
      <c r="W31" s="430">
        <v>0</v>
      </c>
      <c r="X31" s="430">
        <v>26.25</v>
      </c>
      <c r="Y31" s="430">
        <v>6.1</v>
      </c>
      <c r="Z31" s="430">
        <v>202.54</v>
      </c>
      <c r="IV31" s="391"/>
    </row>
    <row r="32" spans="1:256" s="390" customFormat="1">
      <c r="A32" s="364" t="s">
        <v>262</v>
      </c>
      <c r="B32" s="393" t="s">
        <v>263</v>
      </c>
      <c r="C32" s="454">
        <f>C31*0.8</f>
        <v>203.26400000000001</v>
      </c>
      <c r="D32" s="394" t="s">
        <v>108</v>
      </c>
      <c r="E32" s="356"/>
      <c r="F32" s="357">
        <f>C32*E32</f>
        <v>0</v>
      </c>
      <c r="G32" s="381"/>
      <c r="J32" s="390" t="s">
        <v>307</v>
      </c>
      <c r="K32" s="430"/>
      <c r="L32" s="430">
        <v>0</v>
      </c>
      <c r="M32" s="430">
        <v>0</v>
      </c>
      <c r="N32" s="430">
        <v>0</v>
      </c>
      <c r="O32" s="430">
        <v>0</v>
      </c>
      <c r="P32" s="430">
        <v>0</v>
      </c>
      <c r="Q32" s="430">
        <v>0</v>
      </c>
      <c r="R32" s="430">
        <v>0</v>
      </c>
      <c r="S32" s="430">
        <v>0</v>
      </c>
      <c r="T32" s="430">
        <v>0</v>
      </c>
      <c r="U32" s="430">
        <v>0</v>
      </c>
      <c r="V32" s="430">
        <v>0</v>
      </c>
      <c r="W32" s="430">
        <v>0</v>
      </c>
      <c r="X32" s="430">
        <v>0</v>
      </c>
      <c r="Y32" s="430">
        <v>0</v>
      </c>
      <c r="Z32" s="430">
        <v>0</v>
      </c>
      <c r="IV32" s="391"/>
    </row>
    <row r="33" spans="1:256" s="390" customFormat="1">
      <c r="A33" s="364" t="s">
        <v>264</v>
      </c>
      <c r="B33" s="393" t="s">
        <v>265</v>
      </c>
      <c r="C33" s="454">
        <f>C31*0.2</f>
        <v>50.816000000000003</v>
      </c>
      <c r="D33" s="394" t="s">
        <v>108</v>
      </c>
      <c r="E33" s="356"/>
      <c r="F33" s="357">
        <f>C33*E33</f>
        <v>0</v>
      </c>
      <c r="G33" s="381"/>
      <c r="J33" s="390" t="s">
        <v>309</v>
      </c>
      <c r="K33" s="430"/>
      <c r="L33" s="430">
        <v>0</v>
      </c>
      <c r="M33" s="430">
        <v>0</v>
      </c>
      <c r="N33" s="430">
        <v>0</v>
      </c>
      <c r="O33" s="430">
        <v>6.84</v>
      </c>
      <c r="P33" s="430">
        <v>6.84</v>
      </c>
      <c r="Q33" s="430">
        <v>0</v>
      </c>
      <c r="R33" s="430">
        <v>0</v>
      </c>
      <c r="S33" s="430">
        <v>0</v>
      </c>
      <c r="T33" s="430">
        <v>0</v>
      </c>
      <c r="U33" s="430">
        <v>6.83</v>
      </c>
      <c r="V33" s="430">
        <v>4.8899999999999997</v>
      </c>
      <c r="W33" s="430">
        <v>0</v>
      </c>
      <c r="X33" s="430">
        <v>1.57</v>
      </c>
      <c r="Y33" s="430">
        <v>0.38</v>
      </c>
      <c r="Z33" s="430">
        <v>4.8899999999999997</v>
      </c>
      <c r="IV33" s="391"/>
    </row>
    <row r="34" spans="1:256" s="390" customFormat="1">
      <c r="A34" s="364"/>
      <c r="B34" s="393"/>
      <c r="C34" s="454"/>
      <c r="D34" s="394"/>
      <c r="E34" s="356"/>
      <c r="F34" s="357"/>
      <c r="G34" s="381"/>
      <c r="J34" s="390" t="s">
        <v>310</v>
      </c>
      <c r="K34" s="430"/>
      <c r="L34" s="430">
        <v>0</v>
      </c>
      <c r="M34" s="430">
        <v>0</v>
      </c>
      <c r="N34" s="430">
        <v>0</v>
      </c>
      <c r="O34" s="430">
        <v>4.7</v>
      </c>
      <c r="P34" s="430">
        <v>4.7</v>
      </c>
      <c r="Q34" s="430">
        <v>0</v>
      </c>
      <c r="R34" s="430">
        <v>0</v>
      </c>
      <c r="S34" s="430">
        <v>0</v>
      </c>
      <c r="T34" s="430">
        <v>0</v>
      </c>
      <c r="U34" s="430">
        <v>4.7</v>
      </c>
      <c r="V34" s="430">
        <v>2.95</v>
      </c>
      <c r="W34" s="430">
        <v>0</v>
      </c>
      <c r="X34" s="430">
        <v>1.4</v>
      </c>
      <c r="Y34" s="430">
        <v>0.34</v>
      </c>
      <c r="Z34" s="430">
        <v>2.95</v>
      </c>
      <c r="IV34" s="391"/>
    </row>
    <row r="35" spans="1:256" s="390" customFormat="1">
      <c r="A35" s="364"/>
      <c r="B35" s="393"/>
      <c r="C35" s="454"/>
      <c r="D35" s="394"/>
      <c r="E35" s="356"/>
      <c r="F35" s="357"/>
      <c r="G35" s="381"/>
      <c r="J35" s="390" t="s">
        <v>311</v>
      </c>
      <c r="K35" s="430"/>
      <c r="L35" s="430">
        <v>0</v>
      </c>
      <c r="M35" s="430">
        <v>0</v>
      </c>
      <c r="N35" s="430">
        <v>0</v>
      </c>
      <c r="O35" s="430">
        <v>7.62</v>
      </c>
      <c r="P35" s="430">
        <v>7.62</v>
      </c>
      <c r="Q35" s="430">
        <v>0</v>
      </c>
      <c r="R35" s="430">
        <v>0</v>
      </c>
      <c r="S35" s="430">
        <v>0</v>
      </c>
      <c r="T35" s="430">
        <v>0</v>
      </c>
      <c r="U35" s="430">
        <v>7.62</v>
      </c>
      <c r="V35" s="430">
        <v>5.66</v>
      </c>
      <c r="W35" s="430">
        <v>0</v>
      </c>
      <c r="X35" s="430">
        <v>1.58</v>
      </c>
      <c r="Y35" s="430">
        <v>0.38</v>
      </c>
      <c r="Z35" s="430">
        <v>5.66</v>
      </c>
      <c r="IV35" s="391"/>
    </row>
    <row r="36" spans="1:256" s="390" customFormat="1" ht="4.5" customHeight="1">
      <c r="A36" s="392"/>
      <c r="B36" s="393"/>
      <c r="C36" s="456"/>
      <c r="D36" s="346"/>
      <c r="E36" s="356"/>
      <c r="F36" s="357"/>
      <c r="G36" s="381"/>
      <c r="J36" s="390" t="s">
        <v>312</v>
      </c>
      <c r="K36" s="430"/>
      <c r="L36" s="430">
        <v>0</v>
      </c>
      <c r="M36" s="430">
        <v>0</v>
      </c>
      <c r="N36" s="430">
        <v>0</v>
      </c>
      <c r="O36" s="430">
        <v>6.12</v>
      </c>
      <c r="P36" s="430">
        <v>6.12</v>
      </c>
      <c r="Q36" s="430">
        <v>0</v>
      </c>
      <c r="R36" s="430">
        <v>0</v>
      </c>
      <c r="S36" s="430">
        <v>0</v>
      </c>
      <c r="T36" s="430">
        <v>0</v>
      </c>
      <c r="U36" s="430">
        <v>6.12</v>
      </c>
      <c r="V36" s="430">
        <v>4.7</v>
      </c>
      <c r="W36" s="430">
        <v>0</v>
      </c>
      <c r="X36" s="430">
        <v>1.1399999999999999</v>
      </c>
      <c r="Y36" s="430">
        <v>0.28000000000000003</v>
      </c>
      <c r="Z36" s="430">
        <v>4.7</v>
      </c>
      <c r="IV36" s="391"/>
    </row>
    <row r="37" spans="1:256" s="390" customFormat="1">
      <c r="A37" s="364"/>
      <c r="B37" s="393"/>
      <c r="C37" s="454"/>
      <c r="D37" s="346"/>
      <c r="E37" s="356"/>
      <c r="F37" s="357"/>
      <c r="G37" s="381"/>
      <c r="J37" s="390" t="s">
        <v>313</v>
      </c>
      <c r="K37" s="430"/>
      <c r="L37" s="430">
        <v>0</v>
      </c>
      <c r="M37" s="430">
        <v>0</v>
      </c>
      <c r="N37" s="430">
        <v>0</v>
      </c>
      <c r="O37" s="430">
        <v>0</v>
      </c>
      <c r="P37" s="430">
        <v>0</v>
      </c>
      <c r="Q37" s="430">
        <v>0</v>
      </c>
      <c r="R37" s="430">
        <v>0</v>
      </c>
      <c r="S37" s="430">
        <v>0</v>
      </c>
      <c r="T37" s="430">
        <v>0</v>
      </c>
      <c r="U37" s="430">
        <v>0</v>
      </c>
      <c r="V37" s="430">
        <v>0</v>
      </c>
      <c r="W37" s="430">
        <v>0</v>
      </c>
      <c r="X37" s="430">
        <v>0</v>
      </c>
      <c r="Y37" s="430">
        <v>0</v>
      </c>
      <c r="Z37" s="430">
        <v>0</v>
      </c>
      <c r="IV37" s="391"/>
    </row>
    <row r="38" spans="1:256" s="390" customFormat="1" ht="4.5" customHeight="1">
      <c r="A38" s="364"/>
      <c r="B38" s="393"/>
      <c r="C38" s="454"/>
      <c r="D38" s="394"/>
      <c r="E38" s="356"/>
      <c r="F38" s="357"/>
      <c r="G38" s="381"/>
      <c r="L38" s="390">
        <f>SUM(L30:L37)</f>
        <v>0</v>
      </c>
      <c r="M38" s="390">
        <f t="shared" ref="M38:Z38" si="0">SUM(M30:M37)</f>
        <v>0</v>
      </c>
      <c r="N38" s="390">
        <f t="shared" si="0"/>
        <v>0</v>
      </c>
      <c r="O38" s="390">
        <f t="shared" si="0"/>
        <v>521.61</v>
      </c>
      <c r="P38" s="390">
        <f t="shared" si="0"/>
        <v>489.55999999999995</v>
      </c>
      <c r="Q38" s="390">
        <f t="shared" si="0"/>
        <v>32.04</v>
      </c>
      <c r="R38" s="390">
        <f t="shared" si="0"/>
        <v>0</v>
      </c>
      <c r="S38" s="390">
        <f t="shared" si="0"/>
        <v>0</v>
      </c>
      <c r="T38" s="390">
        <f t="shared" si="0"/>
        <v>0</v>
      </c>
      <c r="U38" s="390">
        <f t="shared" si="0"/>
        <v>520.30999999999995</v>
      </c>
      <c r="V38" s="390">
        <f t="shared" si="0"/>
        <v>441.46999999999997</v>
      </c>
      <c r="W38" s="390">
        <f t="shared" si="0"/>
        <v>0</v>
      </c>
      <c r="X38" s="390">
        <f t="shared" si="0"/>
        <v>63.879999999999995</v>
      </c>
      <c r="Y38" s="390">
        <f t="shared" si="0"/>
        <v>14.96</v>
      </c>
      <c r="Z38" s="390">
        <f t="shared" si="0"/>
        <v>441.46999999999997</v>
      </c>
      <c r="IV38" s="391"/>
    </row>
    <row r="39" spans="1:256" s="390" customFormat="1" ht="3" customHeight="1">
      <c r="A39" s="364"/>
      <c r="B39" s="393"/>
      <c r="C39" s="454"/>
      <c r="D39" s="394"/>
      <c r="E39" s="356"/>
      <c r="F39" s="357"/>
      <c r="G39" s="381"/>
      <c r="IV39" s="391"/>
    </row>
    <row r="40" spans="1:256" s="390" customFormat="1" hidden="1">
      <c r="A40" s="354"/>
      <c r="B40" s="355"/>
      <c r="C40" s="455"/>
      <c r="D40" s="352"/>
      <c r="E40" s="360"/>
      <c r="F40" s="361"/>
      <c r="G40" s="381"/>
      <c r="IV40" s="391"/>
    </row>
    <row r="41" spans="1:256" s="389" customFormat="1">
      <c r="A41" s="354" t="s">
        <v>258</v>
      </c>
      <c r="B41" s="355" t="s">
        <v>266</v>
      </c>
      <c r="C41" s="455"/>
      <c r="D41" s="352"/>
      <c r="E41" s="360"/>
      <c r="F41" s="361">
        <f>SUM(F29:F40)</f>
        <v>0</v>
      </c>
      <c r="G41" s="381"/>
      <c r="H41" s="390"/>
    </row>
    <row r="42" spans="1:256" s="389" customFormat="1">
      <c r="A42" s="395"/>
      <c r="B42" s="396"/>
      <c r="C42" s="457"/>
      <c r="D42" s="394"/>
      <c r="E42" s="398"/>
      <c r="F42" s="399"/>
      <c r="G42" s="381"/>
      <c r="H42" s="388"/>
    </row>
    <row r="43" spans="1:256" s="390" customFormat="1">
      <c r="A43" s="354" t="s">
        <v>267</v>
      </c>
      <c r="B43" s="355" t="s">
        <v>268</v>
      </c>
      <c r="C43" s="455"/>
      <c r="D43" s="352"/>
      <c r="E43" s="360"/>
      <c r="F43" s="361"/>
      <c r="G43" s="381"/>
      <c r="IV43" s="391"/>
    </row>
    <row r="44" spans="1:256" s="390" customFormat="1">
      <c r="A44" s="354"/>
      <c r="B44" s="355"/>
      <c r="C44" s="455"/>
      <c r="D44" s="352"/>
      <c r="E44" s="360"/>
      <c r="F44" s="361"/>
      <c r="G44" s="381"/>
      <c r="I44" s="390" t="s">
        <v>221</v>
      </c>
      <c r="J44" s="390" t="s">
        <v>222</v>
      </c>
      <c r="K44" s="390" t="s">
        <v>223</v>
      </c>
      <c r="L44" s="390" t="s">
        <v>224</v>
      </c>
      <c r="M44" s="390" t="s">
        <v>225</v>
      </c>
      <c r="N44" s="390" t="s">
        <v>226</v>
      </c>
      <c r="O44" s="390" t="s">
        <v>227</v>
      </c>
      <c r="P44" s="390" t="s">
        <v>228</v>
      </c>
      <c r="Q44" s="390" t="s">
        <v>229</v>
      </c>
      <c r="R44" s="390" t="s">
        <v>230</v>
      </c>
      <c r="S44" s="390" t="s">
        <v>231</v>
      </c>
      <c r="T44" s="390" t="s">
        <v>232</v>
      </c>
      <c r="U44" s="390" t="s">
        <v>233</v>
      </c>
      <c r="V44" s="390" t="s">
        <v>234</v>
      </c>
      <c r="W44" s="390" t="s">
        <v>235</v>
      </c>
      <c r="X44" s="390" t="s">
        <v>236</v>
      </c>
      <c r="Y44" s="390" t="s">
        <v>237</v>
      </c>
      <c r="IV44" s="391"/>
    </row>
    <row r="45" spans="1:256" s="390" customFormat="1" ht="38.25">
      <c r="A45" s="364" t="s">
        <v>269</v>
      </c>
      <c r="B45" s="393" t="s">
        <v>471</v>
      </c>
      <c r="C45" s="456"/>
      <c r="D45" s="346"/>
      <c r="E45" s="400"/>
      <c r="F45" s="401"/>
      <c r="G45" s="381"/>
      <c r="I45" s="390" t="s">
        <v>480</v>
      </c>
      <c r="K45" s="390">
        <v>0</v>
      </c>
      <c r="L45" s="390">
        <v>28.15</v>
      </c>
      <c r="M45" s="390">
        <v>0</v>
      </c>
      <c r="N45" s="390">
        <v>499.43</v>
      </c>
      <c r="O45" s="390">
        <v>499.29</v>
      </c>
      <c r="P45" s="390">
        <v>0.13</v>
      </c>
      <c r="Q45" s="390">
        <v>0</v>
      </c>
      <c r="R45" s="390">
        <v>0</v>
      </c>
      <c r="S45" s="390">
        <v>0</v>
      </c>
      <c r="T45" s="390">
        <v>497.42</v>
      </c>
      <c r="U45" s="390">
        <v>279.95</v>
      </c>
      <c r="V45" s="390">
        <v>105.27</v>
      </c>
      <c r="W45" s="390">
        <v>91.04</v>
      </c>
      <c r="X45" s="390">
        <v>21.15</v>
      </c>
      <c r="Y45" s="390">
        <v>273.58999999999997</v>
      </c>
      <c r="IV45" s="391"/>
    </row>
    <row r="46" spans="1:256" s="390" customFormat="1">
      <c r="A46" s="402"/>
      <c r="B46" s="393"/>
      <c r="C46" s="454">
        <f>C8*0.8</f>
        <v>203.26400000000001</v>
      </c>
      <c r="D46" s="346" t="s">
        <v>105</v>
      </c>
      <c r="E46" s="356"/>
      <c r="F46" s="357">
        <f>C46*E46</f>
        <v>0</v>
      </c>
      <c r="G46" s="381"/>
      <c r="IV46" s="391"/>
    </row>
    <row r="47" spans="1:256" s="390" customFormat="1">
      <c r="A47" s="402"/>
      <c r="B47" s="393"/>
      <c r="C47" s="454"/>
      <c r="D47" s="346"/>
      <c r="E47" s="356"/>
      <c r="F47" s="357"/>
      <c r="G47" s="381"/>
      <c r="IV47" s="391"/>
    </row>
    <row r="48" spans="1:256" s="390" customFormat="1" ht="63.75">
      <c r="A48" s="364" t="s">
        <v>270</v>
      </c>
      <c r="B48" s="393" t="s">
        <v>271</v>
      </c>
      <c r="C48" s="454"/>
      <c r="D48" s="346"/>
      <c r="E48" s="400"/>
      <c r="F48" s="401"/>
      <c r="G48" s="381"/>
      <c r="IV48" s="391"/>
    </row>
    <row r="49" spans="1:256" s="390" customFormat="1">
      <c r="A49" s="402"/>
      <c r="B49" s="393"/>
      <c r="C49" s="454">
        <f>X45</f>
        <v>21.15</v>
      </c>
      <c r="D49" s="346" t="s">
        <v>108</v>
      </c>
      <c r="E49" s="356"/>
      <c r="F49" s="357">
        <f>C49*E49</f>
        <v>0</v>
      </c>
      <c r="G49" s="381"/>
      <c r="IV49" s="391"/>
    </row>
    <row r="50" spans="1:256" s="390" customFormat="1">
      <c r="A50" s="402"/>
      <c r="B50" s="393"/>
      <c r="C50" s="456"/>
      <c r="D50" s="346"/>
      <c r="E50" s="356"/>
      <c r="F50" s="357"/>
      <c r="G50" s="381"/>
      <c r="IV50" s="391"/>
    </row>
    <row r="51" spans="1:256" s="390" customFormat="1" ht="89.25">
      <c r="A51" s="364" t="s">
        <v>272</v>
      </c>
      <c r="B51" s="393" t="s">
        <v>273</v>
      </c>
      <c r="C51" s="456"/>
      <c r="D51" s="346"/>
      <c r="E51" s="400"/>
      <c r="F51" s="401"/>
      <c r="G51" s="381"/>
      <c r="IV51" s="391"/>
    </row>
    <row r="52" spans="1:256" s="390" customFormat="1">
      <c r="A52" s="402"/>
      <c r="B52" s="393"/>
      <c r="C52" s="454">
        <f>W45</f>
        <v>91.04</v>
      </c>
      <c r="D52" s="346" t="s">
        <v>108</v>
      </c>
      <c r="E52" s="356"/>
      <c r="F52" s="357">
        <f>C52*E52</f>
        <v>0</v>
      </c>
      <c r="G52" s="381"/>
      <c r="IV52" s="391"/>
    </row>
    <row r="53" spans="1:256" s="390" customFormat="1">
      <c r="A53" s="402"/>
      <c r="B53" s="393"/>
      <c r="C53" s="454"/>
      <c r="D53" s="346"/>
      <c r="E53" s="356"/>
      <c r="F53" s="357"/>
      <c r="G53" s="381"/>
      <c r="IV53" s="391"/>
    </row>
    <row r="54" spans="1:256" s="390" customFormat="1" ht="76.5">
      <c r="A54" s="364" t="s">
        <v>274</v>
      </c>
      <c r="B54" s="393" t="s">
        <v>275</v>
      </c>
      <c r="C54" s="454"/>
      <c r="D54" s="346"/>
      <c r="E54" s="400"/>
      <c r="F54" s="401"/>
      <c r="G54" s="381"/>
      <c r="IV54" s="391"/>
    </row>
    <row r="55" spans="1:256" s="390" customFormat="1">
      <c r="A55" s="402"/>
      <c r="B55" s="393"/>
      <c r="C55" s="454">
        <f>C31-C49-C52</f>
        <v>141.88999999999999</v>
      </c>
      <c r="D55" s="346" t="s">
        <v>108</v>
      </c>
      <c r="E55" s="356"/>
      <c r="F55" s="357">
        <f>C55*E55</f>
        <v>0</v>
      </c>
      <c r="G55" s="381"/>
      <c r="IV55" s="391"/>
    </row>
    <row r="56" spans="1:256" s="390" customFormat="1">
      <c r="A56" s="402"/>
      <c r="B56" s="393"/>
      <c r="C56" s="454"/>
      <c r="D56" s="346"/>
      <c r="E56" s="356"/>
      <c r="F56" s="357"/>
      <c r="G56" s="381"/>
      <c r="IV56" s="391"/>
    </row>
    <row r="57" spans="1:256" s="390" customFormat="1">
      <c r="A57" s="364"/>
      <c r="B57" s="362"/>
      <c r="C57" s="454"/>
      <c r="D57" s="346"/>
      <c r="E57" s="365"/>
      <c r="F57" s="366"/>
      <c r="G57" s="381"/>
      <c r="IV57" s="391"/>
    </row>
    <row r="58" spans="1:256" s="389" customFormat="1" ht="51">
      <c r="A58" s="364" t="s">
        <v>276</v>
      </c>
      <c r="B58" s="393" t="s">
        <v>279</v>
      </c>
      <c r="C58" s="454"/>
      <c r="D58" s="346"/>
      <c r="E58" s="400"/>
      <c r="F58" s="401"/>
      <c r="G58" s="381"/>
      <c r="H58" s="381"/>
    </row>
    <row r="59" spans="1:256" s="389" customFormat="1">
      <c r="A59" s="402"/>
      <c r="B59" s="393"/>
      <c r="C59" s="454">
        <f>(C31+C37-C55)*1.4</f>
        <v>157.06600000000003</v>
      </c>
      <c r="D59" s="346" t="s">
        <v>108</v>
      </c>
      <c r="E59" s="356"/>
      <c r="F59" s="357">
        <f>C59*E59</f>
        <v>0</v>
      </c>
      <c r="G59" s="381"/>
      <c r="H59" s="381"/>
    </row>
    <row r="60" spans="1:256" s="389" customFormat="1">
      <c r="A60" s="402"/>
      <c r="B60" s="393"/>
      <c r="C60" s="454"/>
      <c r="D60" s="346"/>
      <c r="E60" s="356"/>
      <c r="F60" s="357"/>
      <c r="G60" s="381"/>
      <c r="H60" s="388"/>
    </row>
    <row r="61" spans="1:256" s="389" customFormat="1">
      <c r="A61" s="364" t="s">
        <v>278</v>
      </c>
      <c r="B61" s="393" t="s">
        <v>281</v>
      </c>
      <c r="C61" s="454"/>
      <c r="D61" s="346"/>
      <c r="E61" s="400"/>
      <c r="F61" s="401"/>
      <c r="G61" s="381"/>
      <c r="H61" s="388"/>
    </row>
    <row r="62" spans="1:256" s="389" customFormat="1">
      <c r="A62" s="402"/>
      <c r="B62" s="393"/>
      <c r="C62" s="454">
        <v>5</v>
      </c>
      <c r="D62" s="346" t="s">
        <v>71</v>
      </c>
      <c r="E62" s="356"/>
      <c r="F62" s="357">
        <f>C62*E62</f>
        <v>0</v>
      </c>
      <c r="G62" s="381"/>
      <c r="H62" s="388"/>
    </row>
    <row r="63" spans="1:256" s="389" customFormat="1">
      <c r="A63" s="402"/>
      <c r="B63" s="393"/>
      <c r="C63" s="456"/>
      <c r="D63" s="346"/>
      <c r="E63" s="356"/>
      <c r="F63" s="357"/>
      <c r="G63" s="381"/>
      <c r="H63" s="388"/>
    </row>
    <row r="64" spans="1:256" s="389" customFormat="1">
      <c r="A64" s="354" t="s">
        <v>267</v>
      </c>
      <c r="B64" s="355" t="s">
        <v>282</v>
      </c>
      <c r="C64" s="455"/>
      <c r="D64" s="352"/>
      <c r="E64" s="360"/>
      <c r="F64" s="361">
        <f>SUM(F45:F62)</f>
        <v>0</v>
      </c>
      <c r="G64" s="381"/>
      <c r="H64" s="390"/>
    </row>
    <row r="65" spans="1:8" s="389" customFormat="1">
      <c r="A65" s="354"/>
      <c r="B65" s="355"/>
      <c r="C65" s="455"/>
      <c r="D65" s="352"/>
      <c r="E65" s="360"/>
      <c r="F65" s="361"/>
      <c r="G65" s="381"/>
      <c r="H65" s="390"/>
    </row>
    <row r="66" spans="1:8" s="389" customFormat="1" ht="38.25">
      <c r="A66" s="364" t="s">
        <v>283</v>
      </c>
      <c r="B66" s="393" t="s">
        <v>284</v>
      </c>
      <c r="C66" s="456"/>
      <c r="D66" s="394"/>
      <c r="E66" s="356"/>
      <c r="F66" s="357"/>
      <c r="G66" s="381"/>
      <c r="H66" s="388"/>
    </row>
    <row r="67" spans="1:8" s="389" customFormat="1">
      <c r="A67" s="395"/>
      <c r="B67" s="396"/>
      <c r="C67" s="470"/>
      <c r="D67" s="394"/>
      <c r="E67" s="404"/>
      <c r="F67" s="715">
        <f>SUM(F64,F41)*0.05</f>
        <v>0</v>
      </c>
      <c r="G67" s="381"/>
      <c r="H67" s="388"/>
    </row>
    <row r="68" spans="1:8" s="389" customFormat="1">
      <c r="A68" s="354"/>
      <c r="B68" s="355"/>
      <c r="C68" s="455"/>
      <c r="D68" s="352"/>
      <c r="E68" s="360"/>
      <c r="F68" s="361"/>
      <c r="G68" s="381"/>
      <c r="H68" s="390"/>
    </row>
    <row r="69" spans="1:8" s="350" customFormat="1">
      <c r="A69" s="348" t="s">
        <v>177</v>
      </c>
      <c r="B69" s="349" t="s">
        <v>285</v>
      </c>
      <c r="C69" s="468"/>
      <c r="E69" s="376"/>
      <c r="F69" s="377">
        <f>F67+F64+F41</f>
        <v>0</v>
      </c>
      <c r="G69" s="345"/>
    </row>
    <row r="70" spans="1:8" s="350" customFormat="1">
      <c r="A70" s="348"/>
      <c r="B70" s="349"/>
      <c r="C70" s="468"/>
      <c r="E70" s="376"/>
      <c r="F70" s="377"/>
      <c r="G70" s="345"/>
    </row>
    <row r="71" spans="1:8" s="407" customFormat="1">
      <c r="A71" s="348" t="s">
        <v>175</v>
      </c>
      <c r="B71" s="349" t="s">
        <v>286</v>
      </c>
      <c r="C71" s="468"/>
      <c r="D71" s="350"/>
      <c r="E71" s="376"/>
      <c r="F71" s="377"/>
    </row>
    <row r="72" spans="1:8" s="407" customFormat="1">
      <c r="A72" s="349"/>
      <c r="B72" s="349"/>
      <c r="C72" s="471"/>
      <c r="D72" s="409"/>
      <c r="E72" s="410"/>
      <c r="F72" s="411"/>
    </row>
    <row r="73" spans="1:8" s="412" customFormat="1" ht="76.5">
      <c r="A73" s="364" t="s">
        <v>287</v>
      </c>
      <c r="B73" s="393" t="s">
        <v>288</v>
      </c>
      <c r="C73" s="456"/>
      <c r="D73" s="346"/>
      <c r="E73" s="356"/>
      <c r="F73" s="357"/>
    </row>
    <row r="74" spans="1:8" s="407" customFormat="1">
      <c r="A74" s="392"/>
      <c r="B74" s="393"/>
      <c r="C74" s="454">
        <f>C97+C98+C106</f>
        <v>4</v>
      </c>
      <c r="D74" s="346" t="s">
        <v>190</v>
      </c>
      <c r="E74" s="356"/>
      <c r="F74" s="357">
        <f>C74*E74</f>
        <v>0</v>
      </c>
    </row>
    <row r="75" spans="1:8" s="407" customFormat="1">
      <c r="A75" s="392"/>
      <c r="B75" s="393"/>
      <c r="C75" s="456"/>
      <c r="D75" s="346"/>
      <c r="E75" s="356"/>
      <c r="F75" s="357"/>
    </row>
    <row r="76" spans="1:8" s="407" customFormat="1" ht="51">
      <c r="A76" s="364" t="s">
        <v>289</v>
      </c>
      <c r="B76" s="393" t="s">
        <v>330</v>
      </c>
      <c r="C76" s="456"/>
      <c r="D76" s="346"/>
      <c r="E76" s="356"/>
      <c r="F76" s="357"/>
    </row>
    <row r="77" spans="1:8" s="407" customFormat="1">
      <c r="A77" s="392"/>
      <c r="B77" s="393"/>
      <c r="C77" s="454">
        <f>C105+C106</f>
        <v>2</v>
      </c>
      <c r="D77" s="346" t="s">
        <v>190</v>
      </c>
      <c r="E77" s="356"/>
      <c r="F77" s="357">
        <f>C77*E77</f>
        <v>0</v>
      </c>
    </row>
    <row r="78" spans="1:8" s="407" customFormat="1">
      <c r="A78" s="392"/>
      <c r="B78" s="393"/>
      <c r="C78" s="456"/>
      <c r="D78" s="346"/>
      <c r="E78" s="356"/>
      <c r="F78" s="357"/>
    </row>
    <row r="79" spans="1:8" s="407" customFormat="1" ht="38.25">
      <c r="A79" s="364" t="s">
        <v>291</v>
      </c>
      <c r="B79" s="393" t="s">
        <v>290</v>
      </c>
      <c r="C79" s="456"/>
      <c r="D79" s="346"/>
      <c r="E79" s="356"/>
      <c r="F79" s="357"/>
    </row>
    <row r="80" spans="1:8" s="407" customFormat="1">
      <c r="A80" s="392"/>
      <c r="B80" s="393"/>
      <c r="C80" s="454">
        <v>2</v>
      </c>
      <c r="D80" s="346" t="s">
        <v>190</v>
      </c>
      <c r="E80" s="356"/>
      <c r="F80" s="357">
        <f>C80*E80</f>
        <v>0</v>
      </c>
    </row>
    <row r="81" spans="1:12" s="407" customFormat="1">
      <c r="A81" s="392"/>
      <c r="B81" s="393"/>
      <c r="C81" s="456"/>
      <c r="D81" s="346"/>
      <c r="E81" s="356"/>
      <c r="F81" s="357"/>
    </row>
    <row r="82" spans="1:12" s="350" customFormat="1" ht="38.25">
      <c r="A82" s="364" t="s">
        <v>329</v>
      </c>
      <c r="B82" s="393" t="s">
        <v>292</v>
      </c>
      <c r="C82" s="456"/>
      <c r="D82" s="346"/>
      <c r="E82" s="356"/>
      <c r="F82" s="357"/>
      <c r="G82" s="345"/>
    </row>
    <row r="83" spans="1:12" s="350" customFormat="1">
      <c r="A83" s="413"/>
      <c r="B83" s="393"/>
      <c r="C83" s="454">
        <v>6</v>
      </c>
      <c r="D83" s="346" t="s">
        <v>105</v>
      </c>
      <c r="E83" s="356"/>
      <c r="F83" s="357">
        <f>C83*E83</f>
        <v>0</v>
      </c>
      <c r="G83" s="381"/>
      <c r="I83" s="346"/>
      <c r="J83" s="346"/>
      <c r="K83" s="346"/>
      <c r="L83" s="346"/>
    </row>
    <row r="84" spans="1:12" s="389" customFormat="1">
      <c r="A84" s="413"/>
      <c r="B84" s="393"/>
      <c r="C84" s="454"/>
      <c r="D84" s="346"/>
      <c r="E84" s="356"/>
      <c r="F84" s="357"/>
      <c r="G84" s="381"/>
      <c r="H84" s="381"/>
      <c r="I84" s="346"/>
      <c r="J84" s="346"/>
      <c r="K84" s="346"/>
      <c r="L84" s="346"/>
    </row>
    <row r="85" spans="1:12" s="389" customFormat="1">
      <c r="A85" s="348" t="s">
        <v>175</v>
      </c>
      <c r="B85" s="349" t="s">
        <v>293</v>
      </c>
      <c r="C85" s="464"/>
      <c r="D85" s="350"/>
      <c r="E85" s="376"/>
      <c r="F85" s="377">
        <f>SUM(F74:F84)</f>
        <v>0</v>
      </c>
      <c r="G85" s="381"/>
      <c r="H85" s="390"/>
      <c r="I85" s="346"/>
      <c r="J85" s="346"/>
      <c r="K85" s="346"/>
      <c r="L85" s="346"/>
    </row>
    <row r="86" spans="1:12" s="389" customFormat="1">
      <c r="A86" s="348"/>
      <c r="B86" s="349"/>
      <c r="C86" s="464"/>
      <c r="D86" s="350"/>
      <c r="E86" s="376"/>
      <c r="F86" s="377"/>
      <c r="G86" s="381"/>
      <c r="H86" s="390"/>
      <c r="I86" s="352"/>
      <c r="J86" s="352"/>
      <c r="K86" s="352"/>
      <c r="L86" s="352"/>
    </row>
    <row r="87" spans="1:12" s="389" customFormat="1">
      <c r="A87" s="348" t="s">
        <v>185</v>
      </c>
      <c r="B87" s="349" t="s">
        <v>294</v>
      </c>
      <c r="C87" s="464"/>
      <c r="D87" s="350"/>
      <c r="E87" s="376"/>
      <c r="F87" s="377"/>
      <c r="G87" s="381"/>
      <c r="H87" s="390"/>
      <c r="I87" s="352"/>
      <c r="J87" s="352"/>
      <c r="K87" s="352"/>
      <c r="L87" s="352"/>
    </row>
    <row r="88" spans="1:12" s="389" customFormat="1" ht="11.25" customHeight="1">
      <c r="A88" s="402"/>
      <c r="B88" s="393"/>
      <c r="C88" s="454"/>
      <c r="D88" s="346"/>
      <c r="E88" s="356"/>
      <c r="F88" s="357"/>
      <c r="G88" s="381"/>
      <c r="H88" s="390"/>
      <c r="I88" s="352"/>
      <c r="J88" s="352"/>
      <c r="K88" s="352"/>
      <c r="L88" s="352"/>
    </row>
    <row r="89" spans="1:12" s="389" customFormat="1" ht="29.25" customHeight="1">
      <c r="A89" s="392"/>
      <c r="B89" s="393" t="s">
        <v>315</v>
      </c>
      <c r="C89" s="454"/>
      <c r="D89" s="346"/>
      <c r="E89" s="400"/>
      <c r="F89" s="401"/>
      <c r="G89" s="381"/>
      <c r="I89" s="346"/>
      <c r="J89" s="346"/>
      <c r="K89" s="346"/>
      <c r="L89" s="346"/>
    </row>
    <row r="90" spans="1:12" s="389" customFormat="1">
      <c r="A90" s="364" t="s">
        <v>295</v>
      </c>
      <c r="B90" s="393" t="s">
        <v>306</v>
      </c>
      <c r="C90" s="454">
        <f>K92</f>
        <v>254.08</v>
      </c>
      <c r="D90" s="346" t="s">
        <v>115</v>
      </c>
      <c r="E90" s="356"/>
      <c r="F90" s="357">
        <f>C90*E90</f>
        <v>0</v>
      </c>
      <c r="G90" s="381"/>
      <c r="I90" s="346"/>
      <c r="J90" s="346"/>
      <c r="K90" s="346"/>
      <c r="L90" s="346"/>
    </row>
    <row r="91" spans="1:12" s="389" customFormat="1">
      <c r="A91" s="402"/>
      <c r="B91" s="393"/>
      <c r="C91" s="454"/>
      <c r="D91" s="346"/>
      <c r="E91" s="356"/>
      <c r="F91" s="357"/>
      <c r="G91" s="381"/>
      <c r="H91" s="415"/>
      <c r="I91" s="346" t="s">
        <v>221</v>
      </c>
      <c r="J91" s="346" t="s">
        <v>238</v>
      </c>
      <c r="K91" s="346" t="s">
        <v>239</v>
      </c>
      <c r="L91" s="346"/>
    </row>
    <row r="92" spans="1:12" s="389" customFormat="1" ht="80.25" customHeight="1">
      <c r="A92" s="392"/>
      <c r="B92" s="393" t="s">
        <v>319</v>
      </c>
      <c r="C92" s="454"/>
      <c r="D92" s="346"/>
      <c r="E92" s="400"/>
      <c r="F92" s="401"/>
      <c r="G92" s="381"/>
      <c r="H92" s="415"/>
      <c r="I92" s="346" t="s">
        <v>306</v>
      </c>
      <c r="J92" s="346">
        <v>100</v>
      </c>
      <c r="K92" s="346">
        <v>254.08</v>
      </c>
      <c r="L92" s="346"/>
    </row>
    <row r="93" spans="1:12" s="389" customFormat="1" ht="12" customHeight="1">
      <c r="A93" s="364" t="s">
        <v>296</v>
      </c>
      <c r="B93" s="393" t="s">
        <v>306</v>
      </c>
      <c r="C93" s="454">
        <f>C90</f>
        <v>254.08</v>
      </c>
      <c r="D93" s="346" t="s">
        <v>115</v>
      </c>
      <c r="E93" s="356"/>
      <c r="F93" s="357">
        <f>C93*E93</f>
        <v>0</v>
      </c>
      <c r="G93" s="381"/>
      <c r="H93" s="415"/>
      <c r="I93" s="346"/>
      <c r="J93" s="346"/>
      <c r="K93" s="346"/>
      <c r="L93" s="346"/>
    </row>
    <row r="94" spans="1:12" s="389" customFormat="1" ht="12" customHeight="1">
      <c r="A94" s="364"/>
      <c r="B94" s="393"/>
      <c r="C94" s="454"/>
      <c r="D94" s="346"/>
      <c r="E94" s="356"/>
      <c r="F94" s="357"/>
      <c r="G94" s="381"/>
      <c r="H94" s="415"/>
      <c r="I94" s="346"/>
      <c r="J94" s="346"/>
      <c r="K94" s="346"/>
      <c r="L94" s="346"/>
    </row>
    <row r="95" spans="1:12" s="421" customFormat="1">
      <c r="A95" s="364"/>
      <c r="B95" s="393"/>
      <c r="C95" s="454"/>
      <c r="D95" s="346"/>
      <c r="E95" s="356"/>
      <c r="F95" s="357"/>
      <c r="G95" s="419"/>
      <c r="H95" s="420"/>
    </row>
    <row r="96" spans="1:12" s="389" customFormat="1" ht="76.5">
      <c r="A96" s="392" t="s">
        <v>317</v>
      </c>
      <c r="B96" s="393" t="s">
        <v>298</v>
      </c>
      <c r="C96" s="458"/>
      <c r="D96" s="363"/>
      <c r="E96" s="414"/>
      <c r="F96" s="414"/>
      <c r="G96" s="381"/>
      <c r="H96" s="390"/>
    </row>
    <row r="97" spans="1:8" s="350" customFormat="1">
      <c r="A97" s="363">
        <v>1</v>
      </c>
      <c r="B97" s="363" t="s">
        <v>325</v>
      </c>
      <c r="C97" s="458">
        <v>1</v>
      </c>
      <c r="D97" s="416" t="s">
        <v>190</v>
      </c>
      <c r="E97" s="414"/>
      <c r="F97" s="414">
        <f t="shared" ref="F97:F109" si="1">C97*E97</f>
        <v>0</v>
      </c>
      <c r="G97" s="345"/>
    </row>
    <row r="98" spans="1:8" s="350" customFormat="1">
      <c r="A98" s="363">
        <v>2</v>
      </c>
      <c r="B98" s="363" t="s">
        <v>326</v>
      </c>
      <c r="C98" s="458">
        <v>3</v>
      </c>
      <c r="D98" s="416" t="s">
        <v>190</v>
      </c>
      <c r="E98" s="414"/>
      <c r="F98" s="414">
        <f t="shared" si="1"/>
        <v>0</v>
      </c>
      <c r="G98" s="345"/>
    </row>
    <row r="99" spans="1:8" s="350" customFormat="1">
      <c r="A99" s="363">
        <v>3</v>
      </c>
      <c r="B99" s="363" t="s">
        <v>320</v>
      </c>
      <c r="C99" s="458">
        <v>1</v>
      </c>
      <c r="D99" s="346" t="s">
        <v>190</v>
      </c>
      <c r="E99" s="414"/>
      <c r="F99" s="414">
        <f t="shared" si="1"/>
        <v>0</v>
      </c>
      <c r="G99" s="345"/>
    </row>
    <row r="100" spans="1:8" s="350" customFormat="1">
      <c r="A100" s="363">
        <v>4</v>
      </c>
      <c r="B100" s="363" t="s">
        <v>475</v>
      </c>
      <c r="C100" s="458">
        <v>3</v>
      </c>
      <c r="D100" s="346" t="s">
        <v>190</v>
      </c>
      <c r="E100" s="414"/>
      <c r="F100" s="414">
        <f t="shared" si="1"/>
        <v>0</v>
      </c>
      <c r="G100" s="345"/>
    </row>
    <row r="101" spans="1:8" s="350" customFormat="1">
      <c r="A101" s="363"/>
      <c r="B101" s="363"/>
      <c r="C101" s="458"/>
      <c r="D101" s="346"/>
      <c r="E101" s="414"/>
      <c r="F101" s="414"/>
      <c r="G101" s="345"/>
    </row>
    <row r="102" spans="1:8" s="350" customFormat="1">
      <c r="A102" s="434"/>
      <c r="B102" s="417"/>
      <c r="C102" s="459"/>
      <c r="D102" s="346"/>
      <c r="E102" s="414"/>
      <c r="F102" s="414"/>
      <c r="G102" s="345"/>
    </row>
    <row r="103" spans="1:8" s="346" customFormat="1">
      <c r="A103" s="434">
        <v>5</v>
      </c>
      <c r="B103" s="417" t="s">
        <v>323</v>
      </c>
      <c r="C103" s="459">
        <v>5</v>
      </c>
      <c r="D103" s="346" t="s">
        <v>190</v>
      </c>
      <c r="E103" s="414"/>
      <c r="F103" s="414">
        <f t="shared" si="1"/>
        <v>0</v>
      </c>
      <c r="G103" s="345"/>
      <c r="H103" s="345"/>
    </row>
    <row r="104" spans="1:8" s="389" customFormat="1">
      <c r="A104" s="434">
        <v>6</v>
      </c>
      <c r="B104" s="417" t="s">
        <v>324</v>
      </c>
      <c r="C104" s="459"/>
      <c r="D104" s="346"/>
      <c r="E104" s="414"/>
      <c r="F104" s="414"/>
    </row>
    <row r="105" spans="1:8" s="389" customFormat="1">
      <c r="A105" s="434">
        <v>7</v>
      </c>
      <c r="B105" s="417" t="s">
        <v>478</v>
      </c>
      <c r="C105" s="459">
        <v>2</v>
      </c>
      <c r="D105" s="346" t="s">
        <v>190</v>
      </c>
      <c r="E105" s="414"/>
      <c r="F105" s="414">
        <f t="shared" si="1"/>
        <v>0</v>
      </c>
    </row>
    <row r="106" spans="1:8" s="389" customFormat="1">
      <c r="A106" s="431"/>
      <c r="B106" s="432"/>
      <c r="C106" s="460"/>
      <c r="D106" s="433"/>
      <c r="E106" s="414"/>
      <c r="F106" s="414"/>
    </row>
    <row r="107" spans="1:8" s="389" customFormat="1">
      <c r="A107" s="434">
        <v>8</v>
      </c>
      <c r="B107" s="418" t="s">
        <v>327</v>
      </c>
      <c r="C107" s="459">
        <v>2</v>
      </c>
      <c r="D107" s="346" t="s">
        <v>190</v>
      </c>
      <c r="E107" s="414"/>
      <c r="F107" s="414">
        <f t="shared" si="1"/>
        <v>0</v>
      </c>
    </row>
    <row r="108" spans="1:8" s="389" customFormat="1">
      <c r="A108" s="363">
        <v>9</v>
      </c>
      <c r="B108" s="417" t="s">
        <v>328</v>
      </c>
      <c r="C108" s="458">
        <v>1</v>
      </c>
      <c r="D108" s="346" t="s">
        <v>190</v>
      </c>
      <c r="E108" s="414"/>
      <c r="F108" s="414">
        <f t="shared" si="1"/>
        <v>0</v>
      </c>
    </row>
    <row r="109" spans="1:8" s="389" customFormat="1">
      <c r="A109" s="363">
        <v>10</v>
      </c>
      <c r="B109" s="417" t="s">
        <v>476</v>
      </c>
      <c r="C109" s="458">
        <v>1</v>
      </c>
      <c r="D109" s="346" t="s">
        <v>190</v>
      </c>
      <c r="E109" s="414"/>
      <c r="F109" s="414">
        <f t="shared" si="1"/>
        <v>0</v>
      </c>
    </row>
    <row r="110" spans="1:8" s="389" customFormat="1">
      <c r="A110" s="363"/>
      <c r="B110" s="417"/>
      <c r="C110" s="458"/>
      <c r="D110" s="346"/>
      <c r="E110" s="414"/>
      <c r="F110" s="414"/>
    </row>
    <row r="111" spans="1:8" s="389" customFormat="1">
      <c r="A111" s="435"/>
      <c r="B111" s="417"/>
      <c r="C111" s="458"/>
      <c r="D111" s="346"/>
      <c r="E111" s="414"/>
      <c r="F111" s="414"/>
    </row>
    <row r="112" spans="1:8" s="389" customFormat="1">
      <c r="A112" s="435">
        <v>11</v>
      </c>
      <c r="B112" s="417" t="s">
        <v>481</v>
      </c>
      <c r="C112" s="458">
        <v>1</v>
      </c>
      <c r="D112" s="346" t="s">
        <v>190</v>
      </c>
      <c r="E112" s="414"/>
      <c r="F112" s="414">
        <f t="shared" ref="F112" si="2">C112*E112</f>
        <v>0</v>
      </c>
    </row>
    <row r="113" spans="1:256" s="389" customFormat="1">
      <c r="A113" s="435"/>
      <c r="B113" s="417"/>
      <c r="C113" s="458"/>
      <c r="D113" s="346"/>
      <c r="E113" s="414"/>
      <c r="F113" s="414"/>
    </row>
    <row r="114" spans="1:256" s="389" customFormat="1">
      <c r="A114" s="435"/>
      <c r="B114" s="417"/>
      <c r="C114" s="458"/>
      <c r="D114" s="346"/>
      <c r="E114" s="414"/>
      <c r="F114" s="414"/>
    </row>
    <row r="115" spans="1:256" s="389" customFormat="1">
      <c r="A115" s="431"/>
      <c r="B115" s="431"/>
      <c r="C115" s="461"/>
      <c r="D115" s="436"/>
      <c r="E115" s="414"/>
      <c r="F115" s="414"/>
    </row>
    <row r="116" spans="1:256" s="389" customFormat="1">
      <c r="A116" s="431"/>
      <c r="B116" s="431"/>
      <c r="C116" s="461"/>
      <c r="D116" s="436"/>
      <c r="E116" s="437"/>
      <c r="F116" s="437"/>
    </row>
    <row r="117" spans="1:256" s="389" customFormat="1" ht="76.5">
      <c r="A117" s="364" t="s">
        <v>318</v>
      </c>
      <c r="B117" s="393" t="s">
        <v>477</v>
      </c>
      <c r="C117" s="458"/>
      <c r="D117" s="363"/>
      <c r="E117" s="414"/>
      <c r="F117" s="414"/>
    </row>
    <row r="118" spans="1:256" s="389" customFormat="1">
      <c r="A118" s="422"/>
      <c r="B118" s="423"/>
      <c r="C118" s="462">
        <v>4</v>
      </c>
      <c r="D118" s="416" t="s">
        <v>190</v>
      </c>
      <c r="E118" s="424"/>
      <c r="F118" s="425">
        <f>C118*E118</f>
        <v>0</v>
      </c>
    </row>
    <row r="119" spans="1:256" s="389" customFormat="1">
      <c r="A119" s="354"/>
      <c r="B119" s="355"/>
      <c r="C119" s="455"/>
      <c r="D119" s="352"/>
      <c r="E119" s="360"/>
      <c r="F119" s="361"/>
    </row>
    <row r="120" spans="1:256" s="346" customFormat="1">
      <c r="A120" s="348" t="s">
        <v>813</v>
      </c>
      <c r="B120" s="349" t="s">
        <v>299</v>
      </c>
      <c r="C120" s="464"/>
      <c r="D120" s="350"/>
      <c r="E120" s="376"/>
      <c r="F120" s="377">
        <f>SUM(F88:F118)</f>
        <v>0</v>
      </c>
      <c r="G120" s="345"/>
      <c r="H120" s="345"/>
    </row>
    <row r="121" spans="1:256" s="350" customFormat="1">
      <c r="A121" s="354"/>
      <c r="B121" s="355"/>
      <c r="C121" s="455"/>
      <c r="D121" s="352"/>
      <c r="E121" s="352"/>
      <c r="F121" s="353"/>
      <c r="G121" s="381"/>
    </row>
    <row r="122" spans="1:256" s="352" customFormat="1">
      <c r="A122" s="348" t="s">
        <v>102</v>
      </c>
      <c r="B122" s="349" t="s">
        <v>170</v>
      </c>
      <c r="C122" s="464"/>
      <c r="D122" s="350"/>
      <c r="E122" s="376"/>
      <c r="F122" s="377"/>
      <c r="G122" s="345"/>
      <c r="H122" s="345"/>
      <c r="IV122" s="405"/>
    </row>
    <row r="123" spans="1:256">
      <c r="A123" s="364"/>
      <c r="B123" s="344"/>
      <c r="C123" s="454"/>
      <c r="D123" s="346"/>
      <c r="E123" s="356"/>
      <c r="F123" s="357"/>
    </row>
    <row r="124" spans="1:256" ht="25.5">
      <c r="A124" s="364" t="s">
        <v>300</v>
      </c>
      <c r="B124" s="393" t="s">
        <v>301</v>
      </c>
      <c r="C124" s="454"/>
      <c r="D124" s="346"/>
      <c r="E124" s="400"/>
      <c r="F124" s="401"/>
    </row>
    <row r="125" spans="1:256">
      <c r="A125" s="402"/>
      <c r="B125" s="393"/>
      <c r="C125" s="454">
        <f>C8</f>
        <v>254.08</v>
      </c>
      <c r="D125" s="346" t="s">
        <v>115</v>
      </c>
      <c r="E125" s="356"/>
      <c r="F125" s="357">
        <f>C125*E125</f>
        <v>0</v>
      </c>
    </row>
    <row r="126" spans="1:256">
      <c r="A126" s="402"/>
      <c r="B126" s="393"/>
      <c r="C126" s="454"/>
      <c r="D126" s="346"/>
      <c r="E126" s="356"/>
      <c r="F126" s="357"/>
    </row>
    <row r="127" spans="1:256" ht="51">
      <c r="A127" s="364" t="s">
        <v>302</v>
      </c>
      <c r="B127" s="393" t="s">
        <v>303</v>
      </c>
      <c r="C127" s="458"/>
      <c r="D127" s="363"/>
      <c r="E127" s="414"/>
      <c r="F127" s="414"/>
    </row>
    <row r="128" spans="1:256">
      <c r="A128" s="364"/>
      <c r="B128" s="393"/>
      <c r="C128" s="454">
        <f>C125</f>
        <v>254.08</v>
      </c>
      <c r="D128" s="346" t="s">
        <v>115</v>
      </c>
      <c r="E128" s="356"/>
      <c r="F128" s="357">
        <f>C128*E128</f>
        <v>0</v>
      </c>
    </row>
    <row r="129" spans="1:6">
      <c r="C129" s="457"/>
      <c r="E129" s="406"/>
    </row>
    <row r="130" spans="1:6">
      <c r="A130" s="348" t="s">
        <v>102</v>
      </c>
      <c r="B130" s="349" t="s">
        <v>304</v>
      </c>
      <c r="C130" s="464"/>
      <c r="D130" s="350"/>
      <c r="E130" s="376"/>
      <c r="F130" s="377">
        <f>SUM(F123:F129)</f>
        <v>0</v>
      </c>
    </row>
    <row r="131" spans="1:6">
      <c r="C131" s="457"/>
      <c r="E131" s="406"/>
    </row>
    <row r="133" spans="1:6">
      <c r="A133" s="429"/>
      <c r="B133" s="346"/>
      <c r="C133" s="466"/>
      <c r="D133" s="346"/>
      <c r="E133" s="346"/>
      <c r="F133" s="346"/>
    </row>
    <row r="134" spans="1:6">
      <c r="A134" s="429"/>
      <c r="B134" s="346"/>
      <c r="C134" s="466"/>
      <c r="D134" s="346"/>
      <c r="E134" s="346"/>
      <c r="F134" s="346"/>
    </row>
  </sheetData>
  <pageMargins left="0.70866141732283472" right="0.70866141732283472" top="0.74803149606299213" bottom="0.74803149606299213" header="0.31496062992125984" footer="0.31496062992125984"/>
  <pageSetup paperSize="9" orientation="portrait" r:id="rId1"/>
  <headerFooter>
    <oddHeader>&amp;CProjekt Dolenje in Gorenje Ponikve:
Kanalizacija, rekonstrukcija vodovoda in pločnik med naseljema</oddHeader>
    <oddFooter>&amp;R&amp;P/&amp;N</oddFooter>
  </headerFooter>
  <rowBreaks count="6" manualBreakCount="6">
    <brk id="11" max="5" man="1"/>
    <brk id="24" max="5" man="1"/>
    <brk id="49" max="5" man="1"/>
    <brk id="69" max="5" man="1"/>
    <brk id="86" max="5" man="1"/>
    <brk id="12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3:O15"/>
  <sheetViews>
    <sheetView view="pageBreakPreview" zoomScaleSheetLayoutView="100" workbookViewId="0">
      <selection activeCell="D9" sqref="D9"/>
    </sheetView>
  </sheetViews>
  <sheetFormatPr defaultColWidth="8.7109375" defaultRowHeight="12.75"/>
  <cols>
    <col min="1" max="1" width="11.7109375" style="50" customWidth="1"/>
    <col min="2" max="2" width="31.7109375" style="50" customWidth="1"/>
    <col min="3" max="3" width="13.42578125" style="50" customWidth="1"/>
    <col min="4" max="4" width="26.42578125" style="50" customWidth="1"/>
    <col min="5" max="16384" width="8.7109375" style="50"/>
  </cols>
  <sheetData>
    <row r="3" spans="1:15" ht="19.899999999999999" customHeight="1" thickBot="1">
      <c r="A3" s="731" t="s">
        <v>822</v>
      </c>
      <c r="B3" s="87"/>
      <c r="C3" s="86"/>
      <c r="D3" s="85"/>
      <c r="E3" s="72"/>
      <c r="F3" s="71"/>
      <c r="G3" s="70"/>
      <c r="H3" s="69"/>
      <c r="I3" s="69"/>
      <c r="J3" s="69"/>
      <c r="K3" s="69"/>
      <c r="L3" s="69"/>
      <c r="M3" s="70"/>
      <c r="N3" s="55"/>
      <c r="O3" s="55"/>
    </row>
    <row r="4" spans="1:15" ht="19.899999999999999" customHeight="1">
      <c r="A4" s="84" t="s">
        <v>179</v>
      </c>
      <c r="B4" s="83" t="s">
        <v>178</v>
      </c>
      <c r="C4" s="82"/>
      <c r="D4" s="81">
        <f>'Predračun-cesta LC425043'!M4</f>
        <v>0</v>
      </c>
      <c r="E4" s="72"/>
      <c r="F4" s="71"/>
      <c r="G4" s="70"/>
      <c r="H4" s="69"/>
      <c r="I4" s="69"/>
      <c r="J4" s="69"/>
      <c r="K4" s="69"/>
      <c r="L4" s="69"/>
      <c r="M4" s="68"/>
      <c r="N4" s="55"/>
      <c r="O4" s="55"/>
    </row>
    <row r="5" spans="1:15" ht="19.899999999999999" customHeight="1">
      <c r="A5" s="80" t="s">
        <v>177</v>
      </c>
      <c r="B5" s="79" t="s">
        <v>176</v>
      </c>
      <c r="C5" s="78"/>
      <c r="D5" s="77">
        <f>'Predračun-cesta LC425043'!M16</f>
        <v>0</v>
      </c>
      <c r="E5" s="72"/>
      <c r="F5" s="71"/>
      <c r="G5" s="70"/>
      <c r="H5" s="69"/>
      <c r="I5" s="69"/>
      <c r="J5" s="69"/>
      <c r="K5" s="69"/>
      <c r="L5" s="69"/>
      <c r="M5" s="68"/>
      <c r="N5" s="55"/>
      <c r="O5" s="55"/>
    </row>
    <row r="6" spans="1:15" ht="19.899999999999999" customHeight="1">
      <c r="A6" s="76" t="s">
        <v>175</v>
      </c>
      <c r="B6" s="75" t="s">
        <v>174</v>
      </c>
      <c r="C6" s="74"/>
      <c r="D6" s="73">
        <f>'Predračun-cesta LC425043'!M33</f>
        <v>0</v>
      </c>
      <c r="E6" s="72"/>
      <c r="F6" s="71"/>
      <c r="G6" s="70"/>
      <c r="H6" s="69"/>
      <c r="I6" s="69"/>
      <c r="J6" s="69"/>
      <c r="K6" s="69"/>
      <c r="L6" s="69"/>
      <c r="M6" s="68"/>
      <c r="N6" s="55"/>
      <c r="O6" s="55"/>
    </row>
    <row r="7" spans="1:15" ht="19.899999999999999" customHeight="1">
      <c r="A7" s="76" t="s">
        <v>185</v>
      </c>
      <c r="B7" s="75" t="s">
        <v>186</v>
      </c>
      <c r="C7" s="74"/>
      <c r="D7" s="73">
        <f>'Predračun-cesta LC425043'!M47</f>
        <v>0</v>
      </c>
      <c r="E7" s="72"/>
      <c r="F7" s="71"/>
      <c r="G7" s="70"/>
      <c r="H7" s="69"/>
      <c r="I7" s="69"/>
      <c r="J7" s="69"/>
      <c r="K7" s="69"/>
      <c r="L7" s="69"/>
      <c r="M7" s="68"/>
      <c r="N7" s="55"/>
      <c r="O7" s="55"/>
    </row>
    <row r="8" spans="1:15" ht="19.899999999999999" customHeight="1">
      <c r="A8" s="84" t="s">
        <v>102</v>
      </c>
      <c r="B8" s="75" t="s">
        <v>204</v>
      </c>
      <c r="C8" s="74"/>
      <c r="D8" s="73">
        <f>'Predračun-cesta LC425043'!M60</f>
        <v>0</v>
      </c>
      <c r="E8" s="72"/>
      <c r="F8" s="71"/>
      <c r="G8" s="70"/>
      <c r="H8" s="69"/>
      <c r="I8" s="69"/>
      <c r="J8" s="69"/>
      <c r="K8" s="69"/>
      <c r="L8" s="69"/>
      <c r="M8" s="68"/>
      <c r="N8" s="55"/>
      <c r="O8" s="55"/>
    </row>
    <row r="9" spans="1:15" ht="19.899999999999999" customHeight="1">
      <c r="A9" s="80" t="s">
        <v>173</v>
      </c>
      <c r="B9" s="75" t="s">
        <v>172</v>
      </c>
      <c r="C9" s="74"/>
      <c r="D9" s="73">
        <f>'Predračun-cesta LC425043'!M65</f>
        <v>0</v>
      </c>
      <c r="E9" s="72"/>
      <c r="F9" s="71"/>
      <c r="G9" s="70"/>
      <c r="H9" s="69"/>
      <c r="I9" s="69"/>
      <c r="J9" s="69"/>
      <c r="K9" s="69"/>
      <c r="L9" s="69"/>
      <c r="M9" s="68"/>
      <c r="N9" s="55"/>
      <c r="O9" s="55"/>
    </row>
    <row r="10" spans="1:15" s="59" customFormat="1" ht="19.899999999999999" customHeight="1">
      <c r="A10" s="67" t="s">
        <v>169</v>
      </c>
      <c r="B10" s="66"/>
      <c r="C10" s="60"/>
      <c r="D10" s="65">
        <f>SUM(D4:D9)</f>
        <v>0</v>
      </c>
      <c r="E10" s="64"/>
      <c r="F10" s="63"/>
      <c r="G10" s="61"/>
      <c r="H10" s="62"/>
      <c r="I10" s="62"/>
      <c r="J10" s="62"/>
      <c r="K10" s="62"/>
      <c r="L10" s="62"/>
      <c r="M10" s="61"/>
      <c r="N10" s="60"/>
      <c r="O10" s="60"/>
    </row>
    <row r="11" spans="1:15" ht="19.899999999999999" customHeight="1">
      <c r="A11" s="58" t="s">
        <v>180</v>
      </c>
      <c r="B11" s="57"/>
      <c r="C11" s="57"/>
      <c r="D11" s="56">
        <f>D10*0.22</f>
        <v>0</v>
      </c>
      <c r="F11" s="55"/>
      <c r="G11" s="55"/>
      <c r="H11" s="55"/>
      <c r="I11" s="55"/>
      <c r="J11" s="55"/>
      <c r="K11" s="55"/>
      <c r="L11" s="55"/>
      <c r="M11" s="55"/>
      <c r="N11" s="55"/>
      <c r="O11" s="55"/>
    </row>
    <row r="12" spans="1:15" ht="19.899999999999999" customHeight="1" thickBot="1">
      <c r="A12" s="54" t="s">
        <v>168</v>
      </c>
      <c r="B12" s="53"/>
      <c r="C12" s="53"/>
      <c r="D12" s="52">
        <f>D10*1.22</f>
        <v>0</v>
      </c>
    </row>
    <row r="13" spans="1:15" ht="13.5" thickTop="1"/>
    <row r="14" spans="1:15">
      <c r="D14" s="51"/>
    </row>
    <row r="15" spans="1:15">
      <c r="D15" s="51"/>
    </row>
  </sheetData>
  <phoneticPr fontId="31" type="noConversion"/>
  <pageMargins left="0.70866141732283472" right="0.70866141732283472" top="0.74803149606299213" bottom="0.74803149606299213" header="0.31496062992125984" footer="0.31496062992125984"/>
  <pageSetup paperSize="9" orientation="portrait" r:id="rId1"/>
  <headerFooter>
    <oddHeader>&amp;CProjekt Dolenje in Gorenje Ponikve:
Kanalizacija, rekonstrukcija vodovoda in pločnik med naseljema</oddHeader>
    <oddFooter>&amp;R&amp;P/&amp;N</oddFooter>
  </headerFooter>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V108"/>
  <sheetViews>
    <sheetView view="pageBreakPreview" topLeftCell="A64" zoomScale="140" zoomScaleNormal="150" zoomScaleSheetLayoutView="140" workbookViewId="0">
      <selection activeCell="E103" sqref="E103"/>
    </sheetView>
  </sheetViews>
  <sheetFormatPr defaultColWidth="9" defaultRowHeight="12.75"/>
  <cols>
    <col min="1" max="1" width="7.42578125" style="395" bestFit="1" customWidth="1"/>
    <col min="2" max="2" width="41.42578125" style="396" customWidth="1"/>
    <col min="3" max="3" width="8.7109375" style="472" customWidth="1"/>
    <col min="4" max="4" width="6.140625" style="394" customWidth="1"/>
    <col min="5" max="5" width="12.28515625" style="394" customWidth="1"/>
    <col min="6" max="6" width="13" style="428" customWidth="1"/>
    <col min="7" max="7" width="10.140625" style="394" customWidth="1"/>
    <col min="8" max="8" width="2" style="394" bestFit="1" customWidth="1"/>
    <col min="9" max="9" width="19.5703125" style="394" customWidth="1"/>
    <col min="10" max="10" width="4.85546875" style="394" customWidth="1"/>
    <col min="11" max="11" width="9.85546875" style="394" customWidth="1"/>
    <col min="12" max="12" width="12" style="394" customWidth="1"/>
    <col min="13" max="256" width="9" style="394"/>
    <col min="257" max="257" width="7.42578125" style="394" bestFit="1" customWidth="1"/>
    <col min="258" max="258" width="37.42578125" style="394" customWidth="1"/>
    <col min="259" max="259" width="14.140625" style="394" customWidth="1"/>
    <col min="260" max="260" width="6.140625" style="394" customWidth="1"/>
    <col min="261" max="261" width="12.28515625" style="394" customWidth="1"/>
    <col min="262" max="262" width="15.42578125" style="394" customWidth="1"/>
    <col min="263" max="263" width="10.140625" style="394" customWidth="1"/>
    <col min="264" max="264" width="2" style="394" bestFit="1" customWidth="1"/>
    <col min="265" max="265" width="39.42578125" style="394" customWidth="1"/>
    <col min="266" max="512" width="9" style="394"/>
    <col min="513" max="513" width="7.42578125" style="394" bestFit="1" customWidth="1"/>
    <col min="514" max="514" width="37.42578125" style="394" customWidth="1"/>
    <col min="515" max="515" width="14.140625" style="394" customWidth="1"/>
    <col min="516" max="516" width="6.140625" style="394" customWidth="1"/>
    <col min="517" max="517" width="12.28515625" style="394" customWidth="1"/>
    <col min="518" max="518" width="15.42578125" style="394" customWidth="1"/>
    <col min="519" max="519" width="10.140625" style="394" customWidth="1"/>
    <col min="520" max="520" width="2" style="394" bestFit="1" customWidth="1"/>
    <col min="521" max="521" width="39.42578125" style="394" customWidth="1"/>
    <col min="522" max="768" width="9" style="394"/>
    <col min="769" max="769" width="7.42578125" style="394" bestFit="1" customWidth="1"/>
    <col min="770" max="770" width="37.42578125" style="394" customWidth="1"/>
    <col min="771" max="771" width="14.140625" style="394" customWidth="1"/>
    <col min="772" max="772" width="6.140625" style="394" customWidth="1"/>
    <col min="773" max="773" width="12.28515625" style="394" customWidth="1"/>
    <col min="774" max="774" width="15.42578125" style="394" customWidth="1"/>
    <col min="775" max="775" width="10.140625" style="394" customWidth="1"/>
    <col min="776" max="776" width="2" style="394" bestFit="1" customWidth="1"/>
    <col min="777" max="777" width="39.42578125" style="394" customWidth="1"/>
    <col min="778" max="1024" width="9" style="394"/>
    <col min="1025" max="1025" width="7.42578125" style="394" bestFit="1" customWidth="1"/>
    <col min="1026" max="1026" width="37.42578125" style="394" customWidth="1"/>
    <col min="1027" max="1027" width="14.140625" style="394" customWidth="1"/>
    <col min="1028" max="1028" width="6.140625" style="394" customWidth="1"/>
    <col min="1029" max="1029" width="12.28515625" style="394" customWidth="1"/>
    <col min="1030" max="1030" width="15.42578125" style="394" customWidth="1"/>
    <col min="1031" max="1031" width="10.140625" style="394" customWidth="1"/>
    <col min="1032" max="1032" width="2" style="394" bestFit="1" customWidth="1"/>
    <col min="1033" max="1033" width="39.42578125" style="394" customWidth="1"/>
    <col min="1034" max="1280" width="9" style="394"/>
    <col min="1281" max="1281" width="7.42578125" style="394" bestFit="1" customWidth="1"/>
    <col min="1282" max="1282" width="37.42578125" style="394" customWidth="1"/>
    <col min="1283" max="1283" width="14.140625" style="394" customWidth="1"/>
    <col min="1284" max="1284" width="6.140625" style="394" customWidth="1"/>
    <col min="1285" max="1285" width="12.28515625" style="394" customWidth="1"/>
    <col min="1286" max="1286" width="15.42578125" style="394" customWidth="1"/>
    <col min="1287" max="1287" width="10.140625" style="394" customWidth="1"/>
    <col min="1288" max="1288" width="2" style="394" bestFit="1" customWidth="1"/>
    <col min="1289" max="1289" width="39.42578125" style="394" customWidth="1"/>
    <col min="1290" max="1536" width="9" style="394"/>
    <col min="1537" max="1537" width="7.42578125" style="394" bestFit="1" customWidth="1"/>
    <col min="1538" max="1538" width="37.42578125" style="394" customWidth="1"/>
    <col min="1539" max="1539" width="14.140625" style="394" customWidth="1"/>
    <col min="1540" max="1540" width="6.140625" style="394" customWidth="1"/>
    <col min="1541" max="1541" width="12.28515625" style="394" customWidth="1"/>
    <col min="1542" max="1542" width="15.42578125" style="394" customWidth="1"/>
    <col min="1543" max="1543" width="10.140625" style="394" customWidth="1"/>
    <col min="1544" max="1544" width="2" style="394" bestFit="1" customWidth="1"/>
    <col min="1545" max="1545" width="39.42578125" style="394" customWidth="1"/>
    <col min="1546" max="1792" width="9" style="394"/>
    <col min="1793" max="1793" width="7.42578125" style="394" bestFit="1" customWidth="1"/>
    <col min="1794" max="1794" width="37.42578125" style="394" customWidth="1"/>
    <col min="1795" max="1795" width="14.140625" style="394" customWidth="1"/>
    <col min="1796" max="1796" width="6.140625" style="394" customWidth="1"/>
    <col min="1797" max="1797" width="12.28515625" style="394" customWidth="1"/>
    <col min="1798" max="1798" width="15.42578125" style="394" customWidth="1"/>
    <col min="1799" max="1799" width="10.140625" style="394" customWidth="1"/>
    <col min="1800" max="1800" width="2" style="394" bestFit="1" customWidth="1"/>
    <col min="1801" max="1801" width="39.42578125" style="394" customWidth="1"/>
    <col min="1802" max="2048" width="9" style="394"/>
    <col min="2049" max="2049" width="7.42578125" style="394" bestFit="1" customWidth="1"/>
    <col min="2050" max="2050" width="37.42578125" style="394" customWidth="1"/>
    <col min="2051" max="2051" width="14.140625" style="394" customWidth="1"/>
    <col min="2052" max="2052" width="6.140625" style="394" customWidth="1"/>
    <col min="2053" max="2053" width="12.28515625" style="394" customWidth="1"/>
    <col min="2054" max="2054" width="15.42578125" style="394" customWidth="1"/>
    <col min="2055" max="2055" width="10.140625" style="394" customWidth="1"/>
    <col min="2056" max="2056" width="2" style="394" bestFit="1" customWidth="1"/>
    <col min="2057" max="2057" width="39.42578125" style="394" customWidth="1"/>
    <col min="2058" max="2304" width="9" style="394"/>
    <col min="2305" max="2305" width="7.42578125" style="394" bestFit="1" customWidth="1"/>
    <col min="2306" max="2306" width="37.42578125" style="394" customWidth="1"/>
    <col min="2307" max="2307" width="14.140625" style="394" customWidth="1"/>
    <col min="2308" max="2308" width="6.140625" style="394" customWidth="1"/>
    <col min="2309" max="2309" width="12.28515625" style="394" customWidth="1"/>
    <col min="2310" max="2310" width="15.42578125" style="394" customWidth="1"/>
    <col min="2311" max="2311" width="10.140625" style="394" customWidth="1"/>
    <col min="2312" max="2312" width="2" style="394" bestFit="1" customWidth="1"/>
    <col min="2313" max="2313" width="39.42578125" style="394" customWidth="1"/>
    <col min="2314" max="2560" width="9" style="394"/>
    <col min="2561" max="2561" width="7.42578125" style="394" bestFit="1" customWidth="1"/>
    <col min="2562" max="2562" width="37.42578125" style="394" customWidth="1"/>
    <col min="2563" max="2563" width="14.140625" style="394" customWidth="1"/>
    <col min="2564" max="2564" width="6.140625" style="394" customWidth="1"/>
    <col min="2565" max="2565" width="12.28515625" style="394" customWidth="1"/>
    <col min="2566" max="2566" width="15.42578125" style="394" customWidth="1"/>
    <col min="2567" max="2567" width="10.140625" style="394" customWidth="1"/>
    <col min="2568" max="2568" width="2" style="394" bestFit="1" customWidth="1"/>
    <col min="2569" max="2569" width="39.42578125" style="394" customWidth="1"/>
    <col min="2570" max="2816" width="9" style="394"/>
    <col min="2817" max="2817" width="7.42578125" style="394" bestFit="1" customWidth="1"/>
    <col min="2818" max="2818" width="37.42578125" style="394" customWidth="1"/>
    <col min="2819" max="2819" width="14.140625" style="394" customWidth="1"/>
    <col min="2820" max="2820" width="6.140625" style="394" customWidth="1"/>
    <col min="2821" max="2821" width="12.28515625" style="394" customWidth="1"/>
    <col min="2822" max="2822" width="15.42578125" style="394" customWidth="1"/>
    <col min="2823" max="2823" width="10.140625" style="394" customWidth="1"/>
    <col min="2824" max="2824" width="2" style="394" bestFit="1" customWidth="1"/>
    <col min="2825" max="2825" width="39.42578125" style="394" customWidth="1"/>
    <col min="2826" max="3072" width="9" style="394"/>
    <col min="3073" max="3073" width="7.42578125" style="394" bestFit="1" customWidth="1"/>
    <col min="3074" max="3074" width="37.42578125" style="394" customWidth="1"/>
    <col min="3075" max="3075" width="14.140625" style="394" customWidth="1"/>
    <col min="3076" max="3076" width="6.140625" style="394" customWidth="1"/>
    <col min="3077" max="3077" width="12.28515625" style="394" customWidth="1"/>
    <col min="3078" max="3078" width="15.42578125" style="394" customWidth="1"/>
    <col min="3079" max="3079" width="10.140625" style="394" customWidth="1"/>
    <col min="3080" max="3080" width="2" style="394" bestFit="1" customWidth="1"/>
    <col min="3081" max="3081" width="39.42578125" style="394" customWidth="1"/>
    <col min="3082" max="3328" width="9" style="394"/>
    <col min="3329" max="3329" width="7.42578125" style="394" bestFit="1" customWidth="1"/>
    <col min="3330" max="3330" width="37.42578125" style="394" customWidth="1"/>
    <col min="3331" max="3331" width="14.140625" style="394" customWidth="1"/>
    <col min="3332" max="3332" width="6.140625" style="394" customWidth="1"/>
    <col min="3333" max="3333" width="12.28515625" style="394" customWidth="1"/>
    <col min="3334" max="3334" width="15.42578125" style="394" customWidth="1"/>
    <col min="3335" max="3335" width="10.140625" style="394" customWidth="1"/>
    <col min="3336" max="3336" width="2" style="394" bestFit="1" customWidth="1"/>
    <col min="3337" max="3337" width="39.42578125" style="394" customWidth="1"/>
    <col min="3338" max="3584" width="9" style="394"/>
    <col min="3585" max="3585" width="7.42578125" style="394" bestFit="1" customWidth="1"/>
    <col min="3586" max="3586" width="37.42578125" style="394" customWidth="1"/>
    <col min="3587" max="3587" width="14.140625" style="394" customWidth="1"/>
    <col min="3588" max="3588" width="6.140625" style="394" customWidth="1"/>
    <col min="3589" max="3589" width="12.28515625" style="394" customWidth="1"/>
    <col min="3590" max="3590" width="15.42578125" style="394" customWidth="1"/>
    <col min="3591" max="3591" width="10.140625" style="394" customWidth="1"/>
    <col min="3592" max="3592" width="2" style="394" bestFit="1" customWidth="1"/>
    <col min="3593" max="3593" width="39.42578125" style="394" customWidth="1"/>
    <col min="3594" max="3840" width="9" style="394"/>
    <col min="3841" max="3841" width="7.42578125" style="394" bestFit="1" customWidth="1"/>
    <col min="3842" max="3842" width="37.42578125" style="394" customWidth="1"/>
    <col min="3843" max="3843" width="14.140625" style="394" customWidth="1"/>
    <col min="3844" max="3844" width="6.140625" style="394" customWidth="1"/>
    <col min="3845" max="3845" width="12.28515625" style="394" customWidth="1"/>
    <col min="3846" max="3846" width="15.42578125" style="394" customWidth="1"/>
    <col min="3847" max="3847" width="10.140625" style="394" customWidth="1"/>
    <col min="3848" max="3848" width="2" style="394" bestFit="1" customWidth="1"/>
    <col min="3849" max="3849" width="39.42578125" style="394" customWidth="1"/>
    <col min="3850" max="4096" width="9" style="394"/>
    <col min="4097" max="4097" width="7.42578125" style="394" bestFit="1" customWidth="1"/>
    <col min="4098" max="4098" width="37.42578125" style="394" customWidth="1"/>
    <col min="4099" max="4099" width="14.140625" style="394" customWidth="1"/>
    <col min="4100" max="4100" width="6.140625" style="394" customWidth="1"/>
    <col min="4101" max="4101" width="12.28515625" style="394" customWidth="1"/>
    <col min="4102" max="4102" width="15.42578125" style="394" customWidth="1"/>
    <col min="4103" max="4103" width="10.140625" style="394" customWidth="1"/>
    <col min="4104" max="4104" width="2" style="394" bestFit="1" customWidth="1"/>
    <col min="4105" max="4105" width="39.42578125" style="394" customWidth="1"/>
    <col min="4106" max="4352" width="9" style="394"/>
    <col min="4353" max="4353" width="7.42578125" style="394" bestFit="1" customWidth="1"/>
    <col min="4354" max="4354" width="37.42578125" style="394" customWidth="1"/>
    <col min="4355" max="4355" width="14.140625" style="394" customWidth="1"/>
    <col min="4356" max="4356" width="6.140625" style="394" customWidth="1"/>
    <col min="4357" max="4357" width="12.28515625" style="394" customWidth="1"/>
    <col min="4358" max="4358" width="15.42578125" style="394" customWidth="1"/>
    <col min="4359" max="4359" width="10.140625" style="394" customWidth="1"/>
    <col min="4360" max="4360" width="2" style="394" bestFit="1" customWidth="1"/>
    <col min="4361" max="4361" width="39.42578125" style="394" customWidth="1"/>
    <col min="4362" max="4608" width="9" style="394"/>
    <col min="4609" max="4609" width="7.42578125" style="394" bestFit="1" customWidth="1"/>
    <col min="4610" max="4610" width="37.42578125" style="394" customWidth="1"/>
    <col min="4611" max="4611" width="14.140625" style="394" customWidth="1"/>
    <col min="4612" max="4612" width="6.140625" style="394" customWidth="1"/>
    <col min="4613" max="4613" width="12.28515625" style="394" customWidth="1"/>
    <col min="4614" max="4614" width="15.42578125" style="394" customWidth="1"/>
    <col min="4615" max="4615" width="10.140625" style="394" customWidth="1"/>
    <col min="4616" max="4616" width="2" style="394" bestFit="1" customWidth="1"/>
    <col min="4617" max="4617" width="39.42578125" style="394" customWidth="1"/>
    <col min="4618" max="4864" width="9" style="394"/>
    <col min="4865" max="4865" width="7.42578125" style="394" bestFit="1" customWidth="1"/>
    <col min="4866" max="4866" width="37.42578125" style="394" customWidth="1"/>
    <col min="4867" max="4867" width="14.140625" style="394" customWidth="1"/>
    <col min="4868" max="4868" width="6.140625" style="394" customWidth="1"/>
    <col min="4869" max="4869" width="12.28515625" style="394" customWidth="1"/>
    <col min="4870" max="4870" width="15.42578125" style="394" customWidth="1"/>
    <col min="4871" max="4871" width="10.140625" style="394" customWidth="1"/>
    <col min="4872" max="4872" width="2" style="394" bestFit="1" customWidth="1"/>
    <col min="4873" max="4873" width="39.42578125" style="394" customWidth="1"/>
    <col min="4874" max="5120" width="9" style="394"/>
    <col min="5121" max="5121" width="7.42578125" style="394" bestFit="1" customWidth="1"/>
    <col min="5122" max="5122" width="37.42578125" style="394" customWidth="1"/>
    <col min="5123" max="5123" width="14.140625" style="394" customWidth="1"/>
    <col min="5124" max="5124" width="6.140625" style="394" customWidth="1"/>
    <col min="5125" max="5125" width="12.28515625" style="394" customWidth="1"/>
    <col min="5126" max="5126" width="15.42578125" style="394" customWidth="1"/>
    <col min="5127" max="5127" width="10.140625" style="394" customWidth="1"/>
    <col min="5128" max="5128" width="2" style="394" bestFit="1" customWidth="1"/>
    <col min="5129" max="5129" width="39.42578125" style="394" customWidth="1"/>
    <col min="5130" max="5376" width="9" style="394"/>
    <col min="5377" max="5377" width="7.42578125" style="394" bestFit="1" customWidth="1"/>
    <col min="5378" max="5378" width="37.42578125" style="394" customWidth="1"/>
    <col min="5379" max="5379" width="14.140625" style="394" customWidth="1"/>
    <col min="5380" max="5380" width="6.140625" style="394" customWidth="1"/>
    <col min="5381" max="5381" width="12.28515625" style="394" customWidth="1"/>
    <col min="5382" max="5382" width="15.42578125" style="394" customWidth="1"/>
    <col min="5383" max="5383" width="10.140625" style="394" customWidth="1"/>
    <col min="5384" max="5384" width="2" style="394" bestFit="1" customWidth="1"/>
    <col min="5385" max="5385" width="39.42578125" style="394" customWidth="1"/>
    <col min="5386" max="5632" width="9" style="394"/>
    <col min="5633" max="5633" width="7.42578125" style="394" bestFit="1" customWidth="1"/>
    <col min="5634" max="5634" width="37.42578125" style="394" customWidth="1"/>
    <col min="5635" max="5635" width="14.140625" style="394" customWidth="1"/>
    <col min="5636" max="5636" width="6.140625" style="394" customWidth="1"/>
    <col min="5637" max="5637" width="12.28515625" style="394" customWidth="1"/>
    <col min="5638" max="5638" width="15.42578125" style="394" customWidth="1"/>
    <col min="5639" max="5639" width="10.140625" style="394" customWidth="1"/>
    <col min="5640" max="5640" width="2" style="394" bestFit="1" customWidth="1"/>
    <col min="5641" max="5641" width="39.42578125" style="394" customWidth="1"/>
    <col min="5642" max="5888" width="9" style="394"/>
    <col min="5889" max="5889" width="7.42578125" style="394" bestFit="1" customWidth="1"/>
    <col min="5890" max="5890" width="37.42578125" style="394" customWidth="1"/>
    <col min="5891" max="5891" width="14.140625" style="394" customWidth="1"/>
    <col min="5892" max="5892" width="6.140625" style="394" customWidth="1"/>
    <col min="5893" max="5893" width="12.28515625" style="394" customWidth="1"/>
    <col min="5894" max="5894" width="15.42578125" style="394" customWidth="1"/>
    <col min="5895" max="5895" width="10.140625" style="394" customWidth="1"/>
    <col min="5896" max="5896" width="2" style="394" bestFit="1" customWidth="1"/>
    <col min="5897" max="5897" width="39.42578125" style="394" customWidth="1"/>
    <col min="5898" max="6144" width="9" style="394"/>
    <col min="6145" max="6145" width="7.42578125" style="394" bestFit="1" customWidth="1"/>
    <col min="6146" max="6146" width="37.42578125" style="394" customWidth="1"/>
    <col min="6147" max="6147" width="14.140625" style="394" customWidth="1"/>
    <col min="6148" max="6148" width="6.140625" style="394" customWidth="1"/>
    <col min="6149" max="6149" width="12.28515625" style="394" customWidth="1"/>
    <col min="6150" max="6150" width="15.42578125" style="394" customWidth="1"/>
    <col min="6151" max="6151" width="10.140625" style="394" customWidth="1"/>
    <col min="6152" max="6152" width="2" style="394" bestFit="1" customWidth="1"/>
    <col min="6153" max="6153" width="39.42578125" style="394" customWidth="1"/>
    <col min="6154" max="6400" width="9" style="394"/>
    <col min="6401" max="6401" width="7.42578125" style="394" bestFit="1" customWidth="1"/>
    <col min="6402" max="6402" width="37.42578125" style="394" customWidth="1"/>
    <col min="6403" max="6403" width="14.140625" style="394" customWidth="1"/>
    <col min="6404" max="6404" width="6.140625" style="394" customWidth="1"/>
    <col min="6405" max="6405" width="12.28515625" style="394" customWidth="1"/>
    <col min="6406" max="6406" width="15.42578125" style="394" customWidth="1"/>
    <col min="6407" max="6407" width="10.140625" style="394" customWidth="1"/>
    <col min="6408" max="6408" width="2" style="394" bestFit="1" customWidth="1"/>
    <col min="6409" max="6409" width="39.42578125" style="394" customWidth="1"/>
    <col min="6410" max="6656" width="9" style="394"/>
    <col min="6657" max="6657" width="7.42578125" style="394" bestFit="1" customWidth="1"/>
    <col min="6658" max="6658" width="37.42578125" style="394" customWidth="1"/>
    <col min="6659" max="6659" width="14.140625" style="394" customWidth="1"/>
    <col min="6660" max="6660" width="6.140625" style="394" customWidth="1"/>
    <col min="6661" max="6661" width="12.28515625" style="394" customWidth="1"/>
    <col min="6662" max="6662" width="15.42578125" style="394" customWidth="1"/>
    <col min="6663" max="6663" width="10.140625" style="394" customWidth="1"/>
    <col min="6664" max="6664" width="2" style="394" bestFit="1" customWidth="1"/>
    <col min="6665" max="6665" width="39.42578125" style="394" customWidth="1"/>
    <col min="6666" max="6912" width="9" style="394"/>
    <col min="6913" max="6913" width="7.42578125" style="394" bestFit="1" customWidth="1"/>
    <col min="6914" max="6914" width="37.42578125" style="394" customWidth="1"/>
    <col min="6915" max="6915" width="14.140625" style="394" customWidth="1"/>
    <col min="6916" max="6916" width="6.140625" style="394" customWidth="1"/>
    <col min="6917" max="6917" width="12.28515625" style="394" customWidth="1"/>
    <col min="6918" max="6918" width="15.42578125" style="394" customWidth="1"/>
    <col min="6919" max="6919" width="10.140625" style="394" customWidth="1"/>
    <col min="6920" max="6920" width="2" style="394" bestFit="1" customWidth="1"/>
    <col min="6921" max="6921" width="39.42578125" style="394" customWidth="1"/>
    <col min="6922" max="7168" width="9" style="394"/>
    <col min="7169" max="7169" width="7.42578125" style="394" bestFit="1" customWidth="1"/>
    <col min="7170" max="7170" width="37.42578125" style="394" customWidth="1"/>
    <col min="7171" max="7171" width="14.140625" style="394" customWidth="1"/>
    <col min="7172" max="7172" width="6.140625" style="394" customWidth="1"/>
    <col min="7173" max="7173" width="12.28515625" style="394" customWidth="1"/>
    <col min="7174" max="7174" width="15.42578125" style="394" customWidth="1"/>
    <col min="7175" max="7175" width="10.140625" style="394" customWidth="1"/>
    <col min="7176" max="7176" width="2" style="394" bestFit="1" customWidth="1"/>
    <col min="7177" max="7177" width="39.42578125" style="394" customWidth="1"/>
    <col min="7178" max="7424" width="9" style="394"/>
    <col min="7425" max="7425" width="7.42578125" style="394" bestFit="1" customWidth="1"/>
    <col min="7426" max="7426" width="37.42578125" style="394" customWidth="1"/>
    <col min="7427" max="7427" width="14.140625" style="394" customWidth="1"/>
    <col min="7428" max="7428" width="6.140625" style="394" customWidth="1"/>
    <col min="7429" max="7429" width="12.28515625" style="394" customWidth="1"/>
    <col min="7430" max="7430" width="15.42578125" style="394" customWidth="1"/>
    <col min="7431" max="7431" width="10.140625" style="394" customWidth="1"/>
    <col min="7432" max="7432" width="2" style="394" bestFit="1" customWidth="1"/>
    <col min="7433" max="7433" width="39.42578125" style="394" customWidth="1"/>
    <col min="7434" max="7680" width="9" style="394"/>
    <col min="7681" max="7681" width="7.42578125" style="394" bestFit="1" customWidth="1"/>
    <col min="7682" max="7682" width="37.42578125" style="394" customWidth="1"/>
    <col min="7683" max="7683" width="14.140625" style="394" customWidth="1"/>
    <col min="7684" max="7684" width="6.140625" style="394" customWidth="1"/>
    <col min="7685" max="7685" width="12.28515625" style="394" customWidth="1"/>
    <col min="7686" max="7686" width="15.42578125" style="394" customWidth="1"/>
    <col min="7687" max="7687" width="10.140625" style="394" customWidth="1"/>
    <col min="7688" max="7688" width="2" style="394" bestFit="1" customWidth="1"/>
    <col min="7689" max="7689" width="39.42578125" style="394" customWidth="1"/>
    <col min="7690" max="7936" width="9" style="394"/>
    <col min="7937" max="7937" width="7.42578125" style="394" bestFit="1" customWidth="1"/>
    <col min="7938" max="7938" width="37.42578125" style="394" customWidth="1"/>
    <col min="7939" max="7939" width="14.140625" style="394" customWidth="1"/>
    <col min="7940" max="7940" width="6.140625" style="394" customWidth="1"/>
    <col min="7941" max="7941" width="12.28515625" style="394" customWidth="1"/>
    <col min="7942" max="7942" width="15.42578125" style="394" customWidth="1"/>
    <col min="7943" max="7943" width="10.140625" style="394" customWidth="1"/>
    <col min="7944" max="7944" width="2" style="394" bestFit="1" customWidth="1"/>
    <col min="7945" max="7945" width="39.42578125" style="394" customWidth="1"/>
    <col min="7946" max="8192" width="9" style="394"/>
    <col min="8193" max="8193" width="7.42578125" style="394" bestFit="1" customWidth="1"/>
    <col min="8194" max="8194" width="37.42578125" style="394" customWidth="1"/>
    <col min="8195" max="8195" width="14.140625" style="394" customWidth="1"/>
    <col min="8196" max="8196" width="6.140625" style="394" customWidth="1"/>
    <col min="8197" max="8197" width="12.28515625" style="394" customWidth="1"/>
    <col min="8198" max="8198" width="15.42578125" style="394" customWidth="1"/>
    <col min="8199" max="8199" width="10.140625" style="394" customWidth="1"/>
    <col min="8200" max="8200" width="2" style="394" bestFit="1" customWidth="1"/>
    <col min="8201" max="8201" width="39.42578125" style="394" customWidth="1"/>
    <col min="8202" max="8448" width="9" style="394"/>
    <col min="8449" max="8449" width="7.42578125" style="394" bestFit="1" customWidth="1"/>
    <col min="8450" max="8450" width="37.42578125" style="394" customWidth="1"/>
    <col min="8451" max="8451" width="14.140625" style="394" customWidth="1"/>
    <col min="8452" max="8452" width="6.140625" style="394" customWidth="1"/>
    <col min="8453" max="8453" width="12.28515625" style="394" customWidth="1"/>
    <col min="8454" max="8454" width="15.42578125" style="394" customWidth="1"/>
    <col min="8455" max="8455" width="10.140625" style="394" customWidth="1"/>
    <col min="8456" max="8456" width="2" style="394" bestFit="1" customWidth="1"/>
    <col min="8457" max="8457" width="39.42578125" style="394" customWidth="1"/>
    <col min="8458" max="8704" width="9" style="394"/>
    <col min="8705" max="8705" width="7.42578125" style="394" bestFit="1" customWidth="1"/>
    <col min="8706" max="8706" width="37.42578125" style="394" customWidth="1"/>
    <col min="8707" max="8707" width="14.140625" style="394" customWidth="1"/>
    <col min="8708" max="8708" width="6.140625" style="394" customWidth="1"/>
    <col min="8709" max="8709" width="12.28515625" style="394" customWidth="1"/>
    <col min="8710" max="8710" width="15.42578125" style="394" customWidth="1"/>
    <col min="8711" max="8711" width="10.140625" style="394" customWidth="1"/>
    <col min="8712" max="8712" width="2" style="394" bestFit="1" customWidth="1"/>
    <col min="8713" max="8713" width="39.42578125" style="394" customWidth="1"/>
    <col min="8714" max="8960" width="9" style="394"/>
    <col min="8961" max="8961" width="7.42578125" style="394" bestFit="1" customWidth="1"/>
    <col min="8962" max="8962" width="37.42578125" style="394" customWidth="1"/>
    <col min="8963" max="8963" width="14.140625" style="394" customWidth="1"/>
    <col min="8964" max="8964" width="6.140625" style="394" customWidth="1"/>
    <col min="8965" max="8965" width="12.28515625" style="394" customWidth="1"/>
    <col min="8966" max="8966" width="15.42578125" style="394" customWidth="1"/>
    <col min="8967" max="8967" width="10.140625" style="394" customWidth="1"/>
    <col min="8968" max="8968" width="2" style="394" bestFit="1" customWidth="1"/>
    <col min="8969" max="8969" width="39.42578125" style="394" customWidth="1"/>
    <col min="8970" max="9216" width="9" style="394"/>
    <col min="9217" max="9217" width="7.42578125" style="394" bestFit="1" customWidth="1"/>
    <col min="9218" max="9218" width="37.42578125" style="394" customWidth="1"/>
    <col min="9219" max="9219" width="14.140625" style="394" customWidth="1"/>
    <col min="9220" max="9220" width="6.140625" style="394" customWidth="1"/>
    <col min="9221" max="9221" width="12.28515625" style="394" customWidth="1"/>
    <col min="9222" max="9222" width="15.42578125" style="394" customWidth="1"/>
    <col min="9223" max="9223" width="10.140625" style="394" customWidth="1"/>
    <col min="9224" max="9224" width="2" style="394" bestFit="1" customWidth="1"/>
    <col min="9225" max="9225" width="39.42578125" style="394" customWidth="1"/>
    <col min="9226" max="9472" width="9" style="394"/>
    <col min="9473" max="9473" width="7.42578125" style="394" bestFit="1" customWidth="1"/>
    <col min="9474" max="9474" width="37.42578125" style="394" customWidth="1"/>
    <col min="9475" max="9475" width="14.140625" style="394" customWidth="1"/>
    <col min="9476" max="9476" width="6.140625" style="394" customWidth="1"/>
    <col min="9477" max="9477" width="12.28515625" style="394" customWidth="1"/>
    <col min="9478" max="9478" width="15.42578125" style="394" customWidth="1"/>
    <col min="9479" max="9479" width="10.140625" style="394" customWidth="1"/>
    <col min="9480" max="9480" width="2" style="394" bestFit="1" customWidth="1"/>
    <col min="9481" max="9481" width="39.42578125" style="394" customWidth="1"/>
    <col min="9482" max="9728" width="9" style="394"/>
    <col min="9729" max="9729" width="7.42578125" style="394" bestFit="1" customWidth="1"/>
    <col min="9730" max="9730" width="37.42578125" style="394" customWidth="1"/>
    <col min="9731" max="9731" width="14.140625" style="394" customWidth="1"/>
    <col min="9732" max="9732" width="6.140625" style="394" customWidth="1"/>
    <col min="9733" max="9733" width="12.28515625" style="394" customWidth="1"/>
    <col min="9734" max="9734" width="15.42578125" style="394" customWidth="1"/>
    <col min="9735" max="9735" width="10.140625" style="394" customWidth="1"/>
    <col min="9736" max="9736" width="2" style="394" bestFit="1" customWidth="1"/>
    <col min="9737" max="9737" width="39.42578125" style="394" customWidth="1"/>
    <col min="9738" max="9984" width="9" style="394"/>
    <col min="9985" max="9985" width="7.42578125" style="394" bestFit="1" customWidth="1"/>
    <col min="9986" max="9986" width="37.42578125" style="394" customWidth="1"/>
    <col min="9987" max="9987" width="14.140625" style="394" customWidth="1"/>
    <col min="9988" max="9988" width="6.140625" style="394" customWidth="1"/>
    <col min="9989" max="9989" width="12.28515625" style="394" customWidth="1"/>
    <col min="9990" max="9990" width="15.42578125" style="394" customWidth="1"/>
    <col min="9991" max="9991" width="10.140625" style="394" customWidth="1"/>
    <col min="9992" max="9992" width="2" style="394" bestFit="1" customWidth="1"/>
    <col min="9993" max="9993" width="39.42578125" style="394" customWidth="1"/>
    <col min="9994" max="10240" width="9" style="394"/>
    <col min="10241" max="10241" width="7.42578125" style="394" bestFit="1" customWidth="1"/>
    <col min="10242" max="10242" width="37.42578125" style="394" customWidth="1"/>
    <col min="10243" max="10243" width="14.140625" style="394" customWidth="1"/>
    <col min="10244" max="10244" width="6.140625" style="394" customWidth="1"/>
    <col min="10245" max="10245" width="12.28515625" style="394" customWidth="1"/>
    <col min="10246" max="10246" width="15.42578125" style="394" customWidth="1"/>
    <col min="10247" max="10247" width="10.140625" style="394" customWidth="1"/>
    <col min="10248" max="10248" width="2" style="394" bestFit="1" customWidth="1"/>
    <col min="10249" max="10249" width="39.42578125" style="394" customWidth="1"/>
    <col min="10250" max="10496" width="9" style="394"/>
    <col min="10497" max="10497" width="7.42578125" style="394" bestFit="1" customWidth="1"/>
    <col min="10498" max="10498" width="37.42578125" style="394" customWidth="1"/>
    <col min="10499" max="10499" width="14.140625" style="394" customWidth="1"/>
    <col min="10500" max="10500" width="6.140625" style="394" customWidth="1"/>
    <col min="10501" max="10501" width="12.28515625" style="394" customWidth="1"/>
    <col min="10502" max="10502" width="15.42578125" style="394" customWidth="1"/>
    <col min="10503" max="10503" width="10.140625" style="394" customWidth="1"/>
    <col min="10504" max="10504" width="2" style="394" bestFit="1" customWidth="1"/>
    <col min="10505" max="10505" width="39.42578125" style="394" customWidth="1"/>
    <col min="10506" max="10752" width="9" style="394"/>
    <col min="10753" max="10753" width="7.42578125" style="394" bestFit="1" customWidth="1"/>
    <col min="10754" max="10754" width="37.42578125" style="394" customWidth="1"/>
    <col min="10755" max="10755" width="14.140625" style="394" customWidth="1"/>
    <col min="10756" max="10756" width="6.140625" style="394" customWidth="1"/>
    <col min="10757" max="10757" width="12.28515625" style="394" customWidth="1"/>
    <col min="10758" max="10758" width="15.42578125" style="394" customWidth="1"/>
    <col min="10759" max="10759" width="10.140625" style="394" customWidth="1"/>
    <col min="10760" max="10760" width="2" style="394" bestFit="1" customWidth="1"/>
    <col min="10761" max="10761" width="39.42578125" style="394" customWidth="1"/>
    <col min="10762" max="11008" width="9" style="394"/>
    <col min="11009" max="11009" width="7.42578125" style="394" bestFit="1" customWidth="1"/>
    <col min="11010" max="11010" width="37.42578125" style="394" customWidth="1"/>
    <col min="11011" max="11011" width="14.140625" style="394" customWidth="1"/>
    <col min="11012" max="11012" width="6.140625" style="394" customWidth="1"/>
    <col min="11013" max="11013" width="12.28515625" style="394" customWidth="1"/>
    <col min="11014" max="11014" width="15.42578125" style="394" customWidth="1"/>
    <col min="11015" max="11015" width="10.140625" style="394" customWidth="1"/>
    <col min="11016" max="11016" width="2" style="394" bestFit="1" customWidth="1"/>
    <col min="11017" max="11017" width="39.42578125" style="394" customWidth="1"/>
    <col min="11018" max="11264" width="9" style="394"/>
    <col min="11265" max="11265" width="7.42578125" style="394" bestFit="1" customWidth="1"/>
    <col min="11266" max="11266" width="37.42578125" style="394" customWidth="1"/>
    <col min="11267" max="11267" width="14.140625" style="394" customWidth="1"/>
    <col min="11268" max="11268" width="6.140625" style="394" customWidth="1"/>
    <col min="11269" max="11269" width="12.28515625" style="394" customWidth="1"/>
    <col min="11270" max="11270" width="15.42578125" style="394" customWidth="1"/>
    <col min="11271" max="11271" width="10.140625" style="394" customWidth="1"/>
    <col min="11272" max="11272" width="2" style="394" bestFit="1" customWidth="1"/>
    <col min="11273" max="11273" width="39.42578125" style="394" customWidth="1"/>
    <col min="11274" max="11520" width="9" style="394"/>
    <col min="11521" max="11521" width="7.42578125" style="394" bestFit="1" customWidth="1"/>
    <col min="11522" max="11522" width="37.42578125" style="394" customWidth="1"/>
    <col min="11523" max="11523" width="14.140625" style="394" customWidth="1"/>
    <col min="11524" max="11524" width="6.140625" style="394" customWidth="1"/>
    <col min="11525" max="11525" width="12.28515625" style="394" customWidth="1"/>
    <col min="11526" max="11526" width="15.42578125" style="394" customWidth="1"/>
    <col min="11527" max="11527" width="10.140625" style="394" customWidth="1"/>
    <col min="11528" max="11528" width="2" style="394" bestFit="1" customWidth="1"/>
    <col min="11529" max="11529" width="39.42578125" style="394" customWidth="1"/>
    <col min="11530" max="11776" width="9" style="394"/>
    <col min="11777" max="11777" width="7.42578125" style="394" bestFit="1" customWidth="1"/>
    <col min="11778" max="11778" width="37.42578125" style="394" customWidth="1"/>
    <col min="11779" max="11779" width="14.140625" style="394" customWidth="1"/>
    <col min="11780" max="11780" width="6.140625" style="394" customWidth="1"/>
    <col min="11781" max="11781" width="12.28515625" style="394" customWidth="1"/>
    <col min="11782" max="11782" width="15.42578125" style="394" customWidth="1"/>
    <col min="11783" max="11783" width="10.140625" style="394" customWidth="1"/>
    <col min="11784" max="11784" width="2" style="394" bestFit="1" customWidth="1"/>
    <col min="11785" max="11785" width="39.42578125" style="394" customWidth="1"/>
    <col min="11786" max="12032" width="9" style="394"/>
    <col min="12033" max="12033" width="7.42578125" style="394" bestFit="1" customWidth="1"/>
    <col min="12034" max="12034" width="37.42578125" style="394" customWidth="1"/>
    <col min="12035" max="12035" width="14.140625" style="394" customWidth="1"/>
    <col min="12036" max="12036" width="6.140625" style="394" customWidth="1"/>
    <col min="12037" max="12037" width="12.28515625" style="394" customWidth="1"/>
    <col min="12038" max="12038" width="15.42578125" style="394" customWidth="1"/>
    <col min="12039" max="12039" width="10.140625" style="394" customWidth="1"/>
    <col min="12040" max="12040" width="2" style="394" bestFit="1" customWidth="1"/>
    <col min="12041" max="12041" width="39.42578125" style="394" customWidth="1"/>
    <col min="12042" max="12288" width="9" style="394"/>
    <col min="12289" max="12289" width="7.42578125" style="394" bestFit="1" customWidth="1"/>
    <col min="12290" max="12290" width="37.42578125" style="394" customWidth="1"/>
    <col min="12291" max="12291" width="14.140625" style="394" customWidth="1"/>
    <col min="12292" max="12292" width="6.140625" style="394" customWidth="1"/>
    <col min="12293" max="12293" width="12.28515625" style="394" customWidth="1"/>
    <col min="12294" max="12294" width="15.42578125" style="394" customWidth="1"/>
    <col min="12295" max="12295" width="10.140625" style="394" customWidth="1"/>
    <col min="12296" max="12296" width="2" style="394" bestFit="1" customWidth="1"/>
    <col min="12297" max="12297" width="39.42578125" style="394" customWidth="1"/>
    <col min="12298" max="12544" width="9" style="394"/>
    <col min="12545" max="12545" width="7.42578125" style="394" bestFit="1" customWidth="1"/>
    <col min="12546" max="12546" width="37.42578125" style="394" customWidth="1"/>
    <col min="12547" max="12547" width="14.140625" style="394" customWidth="1"/>
    <col min="12548" max="12548" width="6.140625" style="394" customWidth="1"/>
    <col min="12549" max="12549" width="12.28515625" style="394" customWidth="1"/>
    <col min="12550" max="12550" width="15.42578125" style="394" customWidth="1"/>
    <col min="12551" max="12551" width="10.140625" style="394" customWidth="1"/>
    <col min="12552" max="12552" width="2" style="394" bestFit="1" customWidth="1"/>
    <col min="12553" max="12553" width="39.42578125" style="394" customWidth="1"/>
    <col min="12554" max="12800" width="9" style="394"/>
    <col min="12801" max="12801" width="7.42578125" style="394" bestFit="1" customWidth="1"/>
    <col min="12802" max="12802" width="37.42578125" style="394" customWidth="1"/>
    <col min="12803" max="12803" width="14.140625" style="394" customWidth="1"/>
    <col min="12804" max="12804" width="6.140625" style="394" customWidth="1"/>
    <col min="12805" max="12805" width="12.28515625" style="394" customWidth="1"/>
    <col min="12806" max="12806" width="15.42578125" style="394" customWidth="1"/>
    <col min="12807" max="12807" width="10.140625" style="394" customWidth="1"/>
    <col min="12808" max="12808" width="2" style="394" bestFit="1" customWidth="1"/>
    <col min="12809" max="12809" width="39.42578125" style="394" customWidth="1"/>
    <col min="12810" max="13056" width="9" style="394"/>
    <col min="13057" max="13057" width="7.42578125" style="394" bestFit="1" customWidth="1"/>
    <col min="13058" max="13058" width="37.42578125" style="394" customWidth="1"/>
    <col min="13059" max="13059" width="14.140625" style="394" customWidth="1"/>
    <col min="13060" max="13060" width="6.140625" style="394" customWidth="1"/>
    <col min="13061" max="13061" width="12.28515625" style="394" customWidth="1"/>
    <col min="13062" max="13062" width="15.42578125" style="394" customWidth="1"/>
    <col min="13063" max="13063" width="10.140625" style="394" customWidth="1"/>
    <col min="13064" max="13064" width="2" style="394" bestFit="1" customWidth="1"/>
    <col min="13065" max="13065" width="39.42578125" style="394" customWidth="1"/>
    <col min="13066" max="13312" width="9" style="394"/>
    <col min="13313" max="13313" width="7.42578125" style="394" bestFit="1" customWidth="1"/>
    <col min="13314" max="13314" width="37.42578125" style="394" customWidth="1"/>
    <col min="13315" max="13315" width="14.140625" style="394" customWidth="1"/>
    <col min="13316" max="13316" width="6.140625" style="394" customWidth="1"/>
    <col min="13317" max="13317" width="12.28515625" style="394" customWidth="1"/>
    <col min="13318" max="13318" width="15.42578125" style="394" customWidth="1"/>
    <col min="13319" max="13319" width="10.140625" style="394" customWidth="1"/>
    <col min="13320" max="13320" width="2" style="394" bestFit="1" customWidth="1"/>
    <col min="13321" max="13321" width="39.42578125" style="394" customWidth="1"/>
    <col min="13322" max="13568" width="9" style="394"/>
    <col min="13569" max="13569" width="7.42578125" style="394" bestFit="1" customWidth="1"/>
    <col min="13570" max="13570" width="37.42578125" style="394" customWidth="1"/>
    <col min="13571" max="13571" width="14.140625" style="394" customWidth="1"/>
    <col min="13572" max="13572" width="6.140625" style="394" customWidth="1"/>
    <col min="13573" max="13573" width="12.28515625" style="394" customWidth="1"/>
    <col min="13574" max="13574" width="15.42578125" style="394" customWidth="1"/>
    <col min="13575" max="13575" width="10.140625" style="394" customWidth="1"/>
    <col min="13576" max="13576" width="2" style="394" bestFit="1" customWidth="1"/>
    <col min="13577" max="13577" width="39.42578125" style="394" customWidth="1"/>
    <col min="13578" max="13824" width="9" style="394"/>
    <col min="13825" max="13825" width="7.42578125" style="394" bestFit="1" customWidth="1"/>
    <col min="13826" max="13826" width="37.42578125" style="394" customWidth="1"/>
    <col min="13827" max="13827" width="14.140625" style="394" customWidth="1"/>
    <col min="13828" max="13828" width="6.140625" style="394" customWidth="1"/>
    <col min="13829" max="13829" width="12.28515625" style="394" customWidth="1"/>
    <col min="13830" max="13830" width="15.42578125" style="394" customWidth="1"/>
    <col min="13831" max="13831" width="10.140625" style="394" customWidth="1"/>
    <col min="13832" max="13832" width="2" style="394" bestFit="1" customWidth="1"/>
    <col min="13833" max="13833" width="39.42578125" style="394" customWidth="1"/>
    <col min="13834" max="14080" width="9" style="394"/>
    <col min="14081" max="14081" width="7.42578125" style="394" bestFit="1" customWidth="1"/>
    <col min="14082" max="14082" width="37.42578125" style="394" customWidth="1"/>
    <col min="14083" max="14083" width="14.140625" style="394" customWidth="1"/>
    <col min="14084" max="14084" width="6.140625" style="394" customWidth="1"/>
    <col min="14085" max="14085" width="12.28515625" style="394" customWidth="1"/>
    <col min="14086" max="14086" width="15.42578125" style="394" customWidth="1"/>
    <col min="14087" max="14087" width="10.140625" style="394" customWidth="1"/>
    <col min="14088" max="14088" width="2" style="394" bestFit="1" customWidth="1"/>
    <col min="14089" max="14089" width="39.42578125" style="394" customWidth="1"/>
    <col min="14090" max="14336" width="9" style="394"/>
    <col min="14337" max="14337" width="7.42578125" style="394" bestFit="1" customWidth="1"/>
    <col min="14338" max="14338" width="37.42578125" style="394" customWidth="1"/>
    <col min="14339" max="14339" width="14.140625" style="394" customWidth="1"/>
    <col min="14340" max="14340" width="6.140625" style="394" customWidth="1"/>
    <col min="14341" max="14341" width="12.28515625" style="394" customWidth="1"/>
    <col min="14342" max="14342" width="15.42578125" style="394" customWidth="1"/>
    <col min="14343" max="14343" width="10.140625" style="394" customWidth="1"/>
    <col min="14344" max="14344" width="2" style="394" bestFit="1" customWidth="1"/>
    <col min="14345" max="14345" width="39.42578125" style="394" customWidth="1"/>
    <col min="14346" max="14592" width="9" style="394"/>
    <col min="14593" max="14593" width="7.42578125" style="394" bestFit="1" customWidth="1"/>
    <col min="14594" max="14594" width="37.42578125" style="394" customWidth="1"/>
    <col min="14595" max="14595" width="14.140625" style="394" customWidth="1"/>
    <col min="14596" max="14596" width="6.140625" style="394" customWidth="1"/>
    <col min="14597" max="14597" width="12.28515625" style="394" customWidth="1"/>
    <col min="14598" max="14598" width="15.42578125" style="394" customWidth="1"/>
    <col min="14599" max="14599" width="10.140625" style="394" customWidth="1"/>
    <col min="14600" max="14600" width="2" style="394" bestFit="1" customWidth="1"/>
    <col min="14601" max="14601" width="39.42578125" style="394" customWidth="1"/>
    <col min="14602" max="14848" width="9" style="394"/>
    <col min="14849" max="14849" width="7.42578125" style="394" bestFit="1" customWidth="1"/>
    <col min="14850" max="14850" width="37.42578125" style="394" customWidth="1"/>
    <col min="14851" max="14851" width="14.140625" style="394" customWidth="1"/>
    <col min="14852" max="14852" width="6.140625" style="394" customWidth="1"/>
    <col min="14853" max="14853" width="12.28515625" style="394" customWidth="1"/>
    <col min="14854" max="14854" width="15.42578125" style="394" customWidth="1"/>
    <col min="14855" max="14855" width="10.140625" style="394" customWidth="1"/>
    <col min="14856" max="14856" width="2" style="394" bestFit="1" customWidth="1"/>
    <col min="14857" max="14857" width="39.42578125" style="394" customWidth="1"/>
    <col min="14858" max="15104" width="9" style="394"/>
    <col min="15105" max="15105" width="7.42578125" style="394" bestFit="1" customWidth="1"/>
    <col min="15106" max="15106" width="37.42578125" style="394" customWidth="1"/>
    <col min="15107" max="15107" width="14.140625" style="394" customWidth="1"/>
    <col min="15108" max="15108" width="6.140625" style="394" customWidth="1"/>
    <col min="15109" max="15109" width="12.28515625" style="394" customWidth="1"/>
    <col min="15110" max="15110" width="15.42578125" style="394" customWidth="1"/>
    <col min="15111" max="15111" width="10.140625" style="394" customWidth="1"/>
    <col min="15112" max="15112" width="2" style="394" bestFit="1" customWidth="1"/>
    <col min="15113" max="15113" width="39.42578125" style="394" customWidth="1"/>
    <col min="15114" max="15360" width="9" style="394"/>
    <col min="15361" max="15361" width="7.42578125" style="394" bestFit="1" customWidth="1"/>
    <col min="15362" max="15362" width="37.42578125" style="394" customWidth="1"/>
    <col min="15363" max="15363" width="14.140625" style="394" customWidth="1"/>
    <col min="15364" max="15364" width="6.140625" style="394" customWidth="1"/>
    <col min="15365" max="15365" width="12.28515625" style="394" customWidth="1"/>
    <col min="15366" max="15366" width="15.42578125" style="394" customWidth="1"/>
    <col min="15367" max="15367" width="10.140625" style="394" customWidth="1"/>
    <col min="15368" max="15368" width="2" style="394" bestFit="1" customWidth="1"/>
    <col min="15369" max="15369" width="39.42578125" style="394" customWidth="1"/>
    <col min="15370" max="15616" width="9" style="394"/>
    <col min="15617" max="15617" width="7.42578125" style="394" bestFit="1" customWidth="1"/>
    <col min="15618" max="15618" width="37.42578125" style="394" customWidth="1"/>
    <col min="15619" max="15619" width="14.140625" style="394" customWidth="1"/>
    <col min="15620" max="15620" width="6.140625" style="394" customWidth="1"/>
    <col min="15621" max="15621" width="12.28515625" style="394" customWidth="1"/>
    <col min="15622" max="15622" width="15.42578125" style="394" customWidth="1"/>
    <col min="15623" max="15623" width="10.140625" style="394" customWidth="1"/>
    <col min="15624" max="15624" width="2" style="394" bestFit="1" customWidth="1"/>
    <col min="15625" max="15625" width="39.42578125" style="394" customWidth="1"/>
    <col min="15626" max="15872" width="9" style="394"/>
    <col min="15873" max="15873" width="7.42578125" style="394" bestFit="1" customWidth="1"/>
    <col min="15874" max="15874" width="37.42578125" style="394" customWidth="1"/>
    <col min="15875" max="15875" width="14.140625" style="394" customWidth="1"/>
    <col min="15876" max="15876" width="6.140625" style="394" customWidth="1"/>
    <col min="15877" max="15877" width="12.28515625" style="394" customWidth="1"/>
    <col min="15878" max="15878" width="15.42578125" style="394" customWidth="1"/>
    <col min="15879" max="15879" width="10.140625" style="394" customWidth="1"/>
    <col min="15880" max="15880" width="2" style="394" bestFit="1" customWidth="1"/>
    <col min="15881" max="15881" width="39.42578125" style="394" customWidth="1"/>
    <col min="15882" max="16128" width="9" style="394"/>
    <col min="16129" max="16129" width="7.42578125" style="394" bestFit="1" customWidth="1"/>
    <col min="16130" max="16130" width="37.42578125" style="394" customWidth="1"/>
    <col min="16131" max="16131" width="14.140625" style="394" customWidth="1"/>
    <col min="16132" max="16132" width="6.140625" style="394" customWidth="1"/>
    <col min="16133" max="16133" width="12.28515625" style="394" customWidth="1"/>
    <col min="16134" max="16134" width="15.42578125" style="394" customWidth="1"/>
    <col min="16135" max="16135" width="10.140625" style="394" customWidth="1"/>
    <col min="16136" max="16136" width="2" style="394" bestFit="1" customWidth="1"/>
    <col min="16137" max="16137" width="39.42578125" style="394" customWidth="1"/>
    <col min="16138" max="16384" width="9" style="394"/>
  </cols>
  <sheetData>
    <row r="1" spans="1:8" s="342" customFormat="1" ht="25.5">
      <c r="A1" s="337"/>
      <c r="B1" s="338" t="s">
        <v>241</v>
      </c>
      <c r="C1" s="463" t="s">
        <v>242</v>
      </c>
      <c r="D1" s="340" t="s">
        <v>243</v>
      </c>
      <c r="E1" s="339" t="s">
        <v>244</v>
      </c>
      <c r="F1" s="341" t="s">
        <v>245</v>
      </c>
    </row>
    <row r="2" spans="1:8" s="346" customFormat="1">
      <c r="A2" s="343"/>
      <c r="B2" s="344"/>
      <c r="C2" s="454"/>
      <c r="E2" s="345"/>
      <c r="F2" s="347"/>
    </row>
    <row r="3" spans="1:8" s="350" customFormat="1">
      <c r="A3" s="348" t="s">
        <v>179</v>
      </c>
      <c r="B3" s="349" t="s">
        <v>178</v>
      </c>
      <c r="C3" s="464"/>
      <c r="F3" s="351"/>
    </row>
    <row r="4" spans="1:8" s="352" customFormat="1">
      <c r="A4" s="343"/>
      <c r="B4" s="349"/>
      <c r="C4" s="465"/>
      <c r="F4" s="353"/>
    </row>
    <row r="5" spans="1:8" s="352" customFormat="1">
      <c r="A5" s="354" t="s">
        <v>246</v>
      </c>
      <c r="B5" s="355" t="s">
        <v>247</v>
      </c>
      <c r="C5" s="465"/>
      <c r="F5" s="353"/>
    </row>
    <row r="6" spans="1:8" s="346" customFormat="1">
      <c r="A6" s="343"/>
      <c r="B6" s="344"/>
      <c r="C6" s="466"/>
      <c r="F6" s="347"/>
    </row>
    <row r="7" spans="1:8" s="346" customFormat="1" ht="25.5">
      <c r="A7" s="343" t="s">
        <v>248</v>
      </c>
      <c r="B7" s="344" t="s">
        <v>249</v>
      </c>
      <c r="C7" s="466"/>
      <c r="F7" s="347"/>
    </row>
    <row r="8" spans="1:8" s="346" customFormat="1">
      <c r="A8" s="343"/>
      <c r="B8" s="344"/>
      <c r="C8" s="454">
        <f>K84+K86</f>
        <v>54.76</v>
      </c>
      <c r="D8" s="346" t="s">
        <v>115</v>
      </c>
      <c r="E8" s="356"/>
      <c r="F8" s="357">
        <f>C8*E8</f>
        <v>0</v>
      </c>
      <c r="G8" s="345"/>
      <c r="H8" s="345"/>
    </row>
    <row r="9" spans="1:8" s="346" customFormat="1">
      <c r="A9" s="343"/>
      <c r="B9" s="344"/>
      <c r="C9" s="456"/>
      <c r="E9" s="356"/>
      <c r="F9" s="357"/>
      <c r="G9" s="345"/>
      <c r="H9" s="345"/>
    </row>
    <row r="10" spans="1:8" s="352" customFormat="1">
      <c r="A10" s="354" t="s">
        <v>246</v>
      </c>
      <c r="B10" s="355" t="s">
        <v>250</v>
      </c>
      <c r="C10" s="455"/>
      <c r="E10" s="360"/>
      <c r="F10" s="361">
        <f>SUM(F7:F9)</f>
        <v>0</v>
      </c>
      <c r="G10" s="345"/>
    </row>
    <row r="11" spans="1:8" s="352" customFormat="1">
      <c r="A11" s="354"/>
      <c r="B11" s="355"/>
      <c r="C11" s="455"/>
      <c r="E11" s="360"/>
      <c r="F11" s="361"/>
      <c r="G11" s="345"/>
    </row>
    <row r="12" spans="1:8" s="352" customFormat="1">
      <c r="A12" s="354"/>
      <c r="B12" s="355"/>
      <c r="C12" s="455"/>
      <c r="E12" s="360"/>
      <c r="F12" s="361"/>
      <c r="G12" s="345"/>
    </row>
    <row r="13" spans="1:8" s="352" customFormat="1">
      <c r="A13" s="354" t="s">
        <v>251</v>
      </c>
      <c r="B13" s="355" t="s">
        <v>469</v>
      </c>
      <c r="C13" s="455"/>
      <c r="E13" s="360"/>
      <c r="F13" s="361"/>
      <c r="G13" s="345"/>
    </row>
    <row r="14" spans="1:8" s="352" customFormat="1">
      <c r="A14" s="354"/>
      <c r="B14" s="355"/>
      <c r="C14" s="455"/>
      <c r="E14" s="360"/>
      <c r="F14" s="361"/>
      <c r="G14" s="345"/>
    </row>
    <row r="15" spans="1:8" s="346" customFormat="1">
      <c r="A15" s="364"/>
      <c r="B15" s="344"/>
      <c r="C15" s="456"/>
      <c r="E15" s="356"/>
      <c r="F15" s="357"/>
      <c r="G15" s="345"/>
      <c r="H15" s="345"/>
    </row>
    <row r="16" spans="1:8" s="346" customFormat="1">
      <c r="A16" s="364"/>
      <c r="B16" s="344"/>
      <c r="C16" s="454"/>
      <c r="E16" s="356"/>
      <c r="F16" s="357"/>
      <c r="G16" s="345"/>
      <c r="H16" s="345"/>
    </row>
    <row r="17" spans="1:256" s="346" customFormat="1">
      <c r="A17" s="364"/>
      <c r="B17" s="344"/>
      <c r="C17" s="454"/>
      <c r="E17" s="356"/>
      <c r="F17" s="357"/>
      <c r="G17" s="345"/>
      <c r="H17" s="345"/>
    </row>
    <row r="18" spans="1:256" s="346" customFormat="1" ht="38.25">
      <c r="A18" s="364" t="s">
        <v>253</v>
      </c>
      <c r="B18" s="344" t="s">
        <v>254</v>
      </c>
      <c r="C18" s="454"/>
      <c r="E18" s="356"/>
      <c r="F18" s="357"/>
      <c r="G18" s="345"/>
      <c r="H18" s="345"/>
    </row>
    <row r="19" spans="1:256" s="346" customFormat="1">
      <c r="A19" s="364"/>
      <c r="B19" s="344"/>
      <c r="C19" s="454">
        <f>ROUND(C8/20,0)</f>
        <v>3</v>
      </c>
      <c r="D19" s="346" t="s">
        <v>5</v>
      </c>
      <c r="E19" s="356"/>
      <c r="F19" s="357">
        <f>C19*E19</f>
        <v>0</v>
      </c>
      <c r="G19" s="345"/>
      <c r="H19" s="345"/>
    </row>
    <row r="20" spans="1:256" s="346" customFormat="1">
      <c r="A20" s="364"/>
      <c r="B20" s="344"/>
      <c r="C20" s="454"/>
      <c r="E20" s="356"/>
      <c r="F20" s="357"/>
      <c r="G20" s="345"/>
      <c r="H20" s="345"/>
    </row>
    <row r="21" spans="1:256" s="352" customFormat="1">
      <c r="A21" s="354" t="s">
        <v>251</v>
      </c>
      <c r="B21" s="355" t="s">
        <v>256</v>
      </c>
      <c r="C21" s="455"/>
      <c r="E21" s="360"/>
      <c r="F21" s="361">
        <f>SUM(F15:F20)</f>
        <v>0</v>
      </c>
      <c r="G21" s="345"/>
    </row>
    <row r="22" spans="1:256" s="374" customFormat="1">
      <c r="A22" s="367"/>
      <c r="B22" s="368"/>
      <c r="C22" s="467"/>
      <c r="D22" s="370"/>
      <c r="E22" s="371"/>
      <c r="F22" s="372"/>
      <c r="G22" s="345"/>
      <c r="H22" s="373"/>
    </row>
    <row r="23" spans="1:256" s="350" customFormat="1">
      <c r="A23" s="348" t="s">
        <v>179</v>
      </c>
      <c r="B23" s="349" t="s">
        <v>257</v>
      </c>
      <c r="C23" s="468"/>
      <c r="E23" s="376"/>
      <c r="F23" s="377">
        <f>F10+F21</f>
        <v>0</v>
      </c>
      <c r="G23" s="345"/>
    </row>
    <row r="24" spans="1:256" s="346" customFormat="1">
      <c r="A24" s="343"/>
      <c r="B24" s="378"/>
      <c r="C24" s="456"/>
      <c r="D24" s="379"/>
      <c r="E24" s="356"/>
      <c r="F24" s="380"/>
      <c r="G24" s="345"/>
      <c r="H24" s="345"/>
    </row>
    <row r="25" spans="1:256" s="350" customFormat="1">
      <c r="A25" s="348" t="s">
        <v>177</v>
      </c>
      <c r="B25" s="349" t="s">
        <v>176</v>
      </c>
      <c r="C25" s="468"/>
      <c r="E25" s="376"/>
      <c r="F25" s="377"/>
      <c r="G25" s="381"/>
    </row>
    <row r="26" spans="1:256" s="389" customFormat="1" ht="11.25">
      <c r="A26" s="382"/>
      <c r="B26" s="383"/>
      <c r="C26" s="469"/>
      <c r="D26" s="385"/>
      <c r="E26" s="386"/>
      <c r="F26" s="387"/>
      <c r="G26" s="381"/>
      <c r="H26" s="388"/>
    </row>
    <row r="27" spans="1:256" s="390" customFormat="1">
      <c r="A27" s="354" t="s">
        <v>258</v>
      </c>
      <c r="B27" s="355" t="s">
        <v>470</v>
      </c>
      <c r="C27" s="455"/>
      <c r="D27" s="352"/>
      <c r="E27" s="360"/>
      <c r="F27" s="361"/>
      <c r="G27" s="381"/>
      <c r="IV27" s="391"/>
    </row>
    <row r="28" spans="1:256" s="390" customFormat="1">
      <c r="A28" s="354"/>
      <c r="B28" s="355"/>
      <c r="C28" s="455"/>
      <c r="D28" s="352"/>
      <c r="E28" s="360"/>
      <c r="F28" s="361"/>
      <c r="G28" s="381"/>
      <c r="J28" s="390" t="s">
        <v>221</v>
      </c>
      <c r="K28" s="390" t="s">
        <v>222</v>
      </c>
      <c r="L28" s="390" t="s">
        <v>223</v>
      </c>
      <c r="M28" s="390" t="s">
        <v>224</v>
      </c>
      <c r="N28" s="390" t="s">
        <v>225</v>
      </c>
      <c r="O28" s="390" t="s">
        <v>226</v>
      </c>
      <c r="P28" s="390" t="s">
        <v>227</v>
      </c>
      <c r="Q28" s="390" t="s">
        <v>228</v>
      </c>
      <c r="R28" s="390" t="s">
        <v>229</v>
      </c>
      <c r="S28" s="390" t="s">
        <v>230</v>
      </c>
      <c r="T28" s="390" t="s">
        <v>231</v>
      </c>
      <c r="U28" s="390" t="s">
        <v>232</v>
      </c>
      <c r="V28" s="390" t="s">
        <v>233</v>
      </c>
      <c r="W28" s="390" t="s">
        <v>234</v>
      </c>
      <c r="X28" s="390" t="s">
        <v>235</v>
      </c>
      <c r="Y28" s="390" t="s">
        <v>236</v>
      </c>
      <c r="Z28" s="390" t="s">
        <v>237</v>
      </c>
      <c r="IV28" s="391"/>
    </row>
    <row r="29" spans="1:256" s="390" customFormat="1" ht="38.25">
      <c r="A29" s="392"/>
      <c r="B29" s="393" t="s">
        <v>260</v>
      </c>
      <c r="C29" s="456"/>
      <c r="D29" s="346"/>
      <c r="E29" s="356"/>
      <c r="F29" s="357"/>
      <c r="G29" s="381"/>
      <c r="J29" s="390" t="s">
        <v>314</v>
      </c>
      <c r="K29" s="430"/>
      <c r="L29" s="430">
        <v>0</v>
      </c>
      <c r="M29" s="430">
        <v>0</v>
      </c>
      <c r="N29" s="430">
        <v>0</v>
      </c>
      <c r="O29" s="430">
        <v>260.8</v>
      </c>
      <c r="P29" s="430">
        <v>244.78</v>
      </c>
      <c r="Q29" s="430">
        <v>16.02</v>
      </c>
      <c r="R29" s="430">
        <v>0</v>
      </c>
      <c r="S29" s="430">
        <v>0</v>
      </c>
      <c r="T29" s="430">
        <v>0</v>
      </c>
      <c r="U29" s="430">
        <v>260.14999999999998</v>
      </c>
      <c r="V29" s="430">
        <v>220.73</v>
      </c>
      <c r="W29" s="430">
        <v>0</v>
      </c>
      <c r="X29" s="430">
        <v>31.94</v>
      </c>
      <c r="Y29" s="430">
        <v>7.48</v>
      </c>
      <c r="Z29" s="430">
        <v>220.73</v>
      </c>
      <c r="IV29" s="391"/>
    </row>
    <row r="30" spans="1:256" s="390" customFormat="1">
      <c r="A30" s="364"/>
      <c r="B30" s="393" t="s">
        <v>261</v>
      </c>
      <c r="C30" s="454">
        <f>C8*1</f>
        <v>54.76</v>
      </c>
      <c r="D30" s="346"/>
      <c r="E30" s="356"/>
      <c r="F30" s="357"/>
      <c r="G30" s="381"/>
      <c r="J30" s="390" t="s">
        <v>305</v>
      </c>
      <c r="K30" s="430"/>
      <c r="L30" s="430">
        <v>0</v>
      </c>
      <c r="M30" s="430">
        <v>0</v>
      </c>
      <c r="N30" s="430">
        <v>0</v>
      </c>
      <c r="O30" s="430">
        <v>235.53</v>
      </c>
      <c r="P30" s="430">
        <v>219.5</v>
      </c>
      <c r="Q30" s="430">
        <v>16.02</v>
      </c>
      <c r="R30" s="430">
        <v>0</v>
      </c>
      <c r="S30" s="430">
        <v>0</v>
      </c>
      <c r="T30" s="430">
        <v>0</v>
      </c>
      <c r="U30" s="430">
        <v>234.89</v>
      </c>
      <c r="V30" s="430">
        <v>202.54</v>
      </c>
      <c r="W30" s="430">
        <v>0</v>
      </c>
      <c r="X30" s="430">
        <v>26.25</v>
      </c>
      <c r="Y30" s="430">
        <v>6.1</v>
      </c>
      <c r="Z30" s="430">
        <v>202.54</v>
      </c>
      <c r="IV30" s="391"/>
    </row>
    <row r="31" spans="1:256" s="390" customFormat="1">
      <c r="A31" s="364" t="s">
        <v>262</v>
      </c>
      <c r="B31" s="393" t="s">
        <v>263</v>
      </c>
      <c r="C31" s="454">
        <f>C30*0.8</f>
        <v>43.808</v>
      </c>
      <c r="D31" s="394" t="s">
        <v>108</v>
      </c>
      <c r="E31" s="356"/>
      <c r="F31" s="357">
        <f>C31*E31</f>
        <v>0</v>
      </c>
      <c r="G31" s="381"/>
      <c r="J31" s="390" t="s">
        <v>307</v>
      </c>
      <c r="K31" s="430"/>
      <c r="L31" s="430">
        <v>0</v>
      </c>
      <c r="M31" s="430">
        <v>0</v>
      </c>
      <c r="N31" s="430">
        <v>0</v>
      </c>
      <c r="O31" s="430">
        <v>0</v>
      </c>
      <c r="P31" s="430">
        <v>0</v>
      </c>
      <c r="Q31" s="430">
        <v>0</v>
      </c>
      <c r="R31" s="430">
        <v>0</v>
      </c>
      <c r="S31" s="430">
        <v>0</v>
      </c>
      <c r="T31" s="430">
        <v>0</v>
      </c>
      <c r="U31" s="430">
        <v>0</v>
      </c>
      <c r="V31" s="430">
        <v>0</v>
      </c>
      <c r="W31" s="430">
        <v>0</v>
      </c>
      <c r="X31" s="430">
        <v>0</v>
      </c>
      <c r="Y31" s="430">
        <v>0</v>
      </c>
      <c r="Z31" s="430">
        <v>0</v>
      </c>
      <c r="IV31" s="391"/>
    </row>
    <row r="32" spans="1:256" s="390" customFormat="1">
      <c r="A32" s="364" t="s">
        <v>264</v>
      </c>
      <c r="B32" s="393" t="s">
        <v>265</v>
      </c>
      <c r="C32" s="454">
        <f>C30*0.2</f>
        <v>10.952</v>
      </c>
      <c r="D32" s="394" t="s">
        <v>108</v>
      </c>
      <c r="E32" s="356"/>
      <c r="F32" s="357">
        <f>C32*E32</f>
        <v>0</v>
      </c>
      <c r="G32" s="381"/>
      <c r="J32" s="390" t="s">
        <v>309</v>
      </c>
      <c r="K32" s="430"/>
      <c r="L32" s="430">
        <v>0</v>
      </c>
      <c r="M32" s="430">
        <v>0</v>
      </c>
      <c r="N32" s="430">
        <v>0</v>
      </c>
      <c r="O32" s="430">
        <v>6.84</v>
      </c>
      <c r="P32" s="430">
        <v>6.84</v>
      </c>
      <c r="Q32" s="430">
        <v>0</v>
      </c>
      <c r="R32" s="430">
        <v>0</v>
      </c>
      <c r="S32" s="430">
        <v>0</v>
      </c>
      <c r="T32" s="430">
        <v>0</v>
      </c>
      <c r="U32" s="430">
        <v>6.83</v>
      </c>
      <c r="V32" s="430">
        <v>4.8899999999999997</v>
      </c>
      <c r="W32" s="430">
        <v>0</v>
      </c>
      <c r="X32" s="430">
        <v>1.57</v>
      </c>
      <c r="Y32" s="430">
        <v>0.38</v>
      </c>
      <c r="Z32" s="430">
        <v>4.8899999999999997</v>
      </c>
      <c r="IV32" s="391"/>
    </row>
    <row r="33" spans="1:256" s="390" customFormat="1">
      <c r="A33" s="364"/>
      <c r="B33" s="393"/>
      <c r="C33" s="454"/>
      <c r="D33" s="394"/>
      <c r="E33" s="356"/>
      <c r="F33" s="357"/>
      <c r="G33" s="381"/>
      <c r="J33" s="390" t="s">
        <v>310</v>
      </c>
      <c r="K33" s="430"/>
      <c r="L33" s="430">
        <v>0</v>
      </c>
      <c r="M33" s="430">
        <v>0</v>
      </c>
      <c r="N33" s="430">
        <v>0</v>
      </c>
      <c r="O33" s="430">
        <v>4.7</v>
      </c>
      <c r="P33" s="430">
        <v>4.7</v>
      </c>
      <c r="Q33" s="430">
        <v>0</v>
      </c>
      <c r="R33" s="430">
        <v>0</v>
      </c>
      <c r="S33" s="430">
        <v>0</v>
      </c>
      <c r="T33" s="430">
        <v>0</v>
      </c>
      <c r="U33" s="430">
        <v>4.7</v>
      </c>
      <c r="V33" s="430">
        <v>2.95</v>
      </c>
      <c r="W33" s="430">
        <v>0</v>
      </c>
      <c r="X33" s="430">
        <v>1.4</v>
      </c>
      <c r="Y33" s="430">
        <v>0.34</v>
      </c>
      <c r="Z33" s="430">
        <v>2.95</v>
      </c>
      <c r="IV33" s="391"/>
    </row>
    <row r="34" spans="1:256" s="390" customFormat="1">
      <c r="A34" s="364"/>
      <c r="B34" s="393"/>
      <c r="C34" s="454"/>
      <c r="D34" s="394"/>
      <c r="E34" s="356"/>
      <c r="F34" s="357"/>
      <c r="G34" s="381"/>
      <c r="J34" s="390" t="s">
        <v>311</v>
      </c>
      <c r="K34" s="430"/>
      <c r="L34" s="430">
        <v>0</v>
      </c>
      <c r="M34" s="430">
        <v>0</v>
      </c>
      <c r="N34" s="430">
        <v>0</v>
      </c>
      <c r="O34" s="430">
        <v>7.62</v>
      </c>
      <c r="P34" s="430">
        <v>7.62</v>
      </c>
      <c r="Q34" s="430">
        <v>0</v>
      </c>
      <c r="R34" s="430">
        <v>0</v>
      </c>
      <c r="S34" s="430">
        <v>0</v>
      </c>
      <c r="T34" s="430">
        <v>0</v>
      </c>
      <c r="U34" s="430">
        <v>7.62</v>
      </c>
      <c r="V34" s="430">
        <v>5.66</v>
      </c>
      <c r="W34" s="430">
        <v>0</v>
      </c>
      <c r="X34" s="430">
        <v>1.58</v>
      </c>
      <c r="Y34" s="430">
        <v>0.38</v>
      </c>
      <c r="Z34" s="430">
        <v>5.66</v>
      </c>
      <c r="IV34" s="391"/>
    </row>
    <row r="35" spans="1:256" s="390" customFormat="1">
      <c r="A35" s="392"/>
      <c r="B35" s="393"/>
      <c r="C35" s="456"/>
      <c r="D35" s="346"/>
      <c r="E35" s="356"/>
      <c r="F35" s="357"/>
      <c r="G35" s="381"/>
      <c r="J35" s="390" t="s">
        <v>312</v>
      </c>
      <c r="K35" s="430"/>
      <c r="L35" s="430">
        <v>0</v>
      </c>
      <c r="M35" s="430">
        <v>0</v>
      </c>
      <c r="N35" s="430">
        <v>0</v>
      </c>
      <c r="O35" s="430">
        <v>6.12</v>
      </c>
      <c r="P35" s="430">
        <v>6.12</v>
      </c>
      <c r="Q35" s="430">
        <v>0</v>
      </c>
      <c r="R35" s="430">
        <v>0</v>
      </c>
      <c r="S35" s="430">
        <v>0</v>
      </c>
      <c r="T35" s="430">
        <v>0</v>
      </c>
      <c r="U35" s="430">
        <v>6.12</v>
      </c>
      <c r="V35" s="430">
        <v>4.7</v>
      </c>
      <c r="W35" s="430">
        <v>0</v>
      </c>
      <c r="X35" s="430">
        <v>1.1399999999999999</v>
      </c>
      <c r="Y35" s="430">
        <v>0.28000000000000003</v>
      </c>
      <c r="Z35" s="430">
        <v>4.7</v>
      </c>
      <c r="IV35" s="391"/>
    </row>
    <row r="36" spans="1:256" s="390" customFormat="1">
      <c r="A36" s="364"/>
      <c r="B36" s="393"/>
      <c r="C36" s="454"/>
      <c r="D36" s="346"/>
      <c r="E36" s="356"/>
      <c r="F36" s="357"/>
      <c r="G36" s="381"/>
      <c r="J36" s="390" t="s">
        <v>313</v>
      </c>
      <c r="K36" s="430"/>
      <c r="L36" s="430">
        <v>0</v>
      </c>
      <c r="M36" s="430">
        <v>0</v>
      </c>
      <c r="N36" s="430">
        <v>0</v>
      </c>
      <c r="O36" s="430">
        <v>0</v>
      </c>
      <c r="P36" s="430">
        <v>0</v>
      </c>
      <c r="Q36" s="430">
        <v>0</v>
      </c>
      <c r="R36" s="430">
        <v>0</v>
      </c>
      <c r="S36" s="430">
        <v>0</v>
      </c>
      <c r="T36" s="430">
        <v>0</v>
      </c>
      <c r="U36" s="430">
        <v>0</v>
      </c>
      <c r="V36" s="430">
        <v>0</v>
      </c>
      <c r="W36" s="430">
        <v>0</v>
      </c>
      <c r="X36" s="430">
        <v>0</v>
      </c>
      <c r="Y36" s="430">
        <v>0</v>
      </c>
      <c r="Z36" s="430">
        <v>0</v>
      </c>
      <c r="IV36" s="391"/>
    </row>
    <row r="37" spans="1:256" s="390" customFormat="1">
      <c r="A37" s="364"/>
      <c r="B37" s="393"/>
      <c r="C37" s="454"/>
      <c r="D37" s="394"/>
      <c r="E37" s="356"/>
      <c r="F37" s="357"/>
      <c r="G37" s="381"/>
      <c r="L37" s="390">
        <f>SUM(L29:L36)</f>
        <v>0</v>
      </c>
      <c r="M37" s="390">
        <f t="shared" ref="M37:Z37" si="0">SUM(M29:M36)</f>
        <v>0</v>
      </c>
      <c r="N37" s="390">
        <f t="shared" si="0"/>
        <v>0</v>
      </c>
      <c r="O37" s="390">
        <f t="shared" si="0"/>
        <v>521.61</v>
      </c>
      <c r="P37" s="390">
        <f t="shared" si="0"/>
        <v>489.55999999999995</v>
      </c>
      <c r="Q37" s="390">
        <f t="shared" si="0"/>
        <v>32.04</v>
      </c>
      <c r="R37" s="390">
        <f t="shared" si="0"/>
        <v>0</v>
      </c>
      <c r="S37" s="390">
        <f t="shared" si="0"/>
        <v>0</v>
      </c>
      <c r="T37" s="390">
        <f t="shared" si="0"/>
        <v>0</v>
      </c>
      <c r="U37" s="390">
        <f t="shared" si="0"/>
        <v>520.30999999999995</v>
      </c>
      <c r="V37" s="390">
        <f t="shared" si="0"/>
        <v>441.46999999999997</v>
      </c>
      <c r="W37" s="390">
        <f t="shared" si="0"/>
        <v>0</v>
      </c>
      <c r="X37" s="390">
        <f t="shared" si="0"/>
        <v>63.879999999999995</v>
      </c>
      <c r="Y37" s="390">
        <f t="shared" si="0"/>
        <v>14.96</v>
      </c>
      <c r="Z37" s="390">
        <f t="shared" si="0"/>
        <v>441.46999999999997</v>
      </c>
      <c r="IV37" s="391"/>
    </row>
    <row r="38" spans="1:256" s="390" customFormat="1">
      <c r="A38" s="354"/>
      <c r="B38" s="355"/>
      <c r="C38" s="455"/>
      <c r="D38" s="352"/>
      <c r="E38" s="360"/>
      <c r="F38" s="361"/>
      <c r="G38" s="381"/>
      <c r="IV38" s="391"/>
    </row>
    <row r="39" spans="1:256" s="389" customFormat="1">
      <c r="A39" s="354" t="s">
        <v>258</v>
      </c>
      <c r="B39" s="355" t="s">
        <v>266</v>
      </c>
      <c r="C39" s="455"/>
      <c r="D39" s="352"/>
      <c r="E39" s="360"/>
      <c r="F39" s="361">
        <f>SUM(F28:F38)</f>
        <v>0</v>
      </c>
      <c r="G39" s="381"/>
      <c r="H39" s="390"/>
    </row>
    <row r="40" spans="1:256" s="389" customFormat="1">
      <c r="A40" s="395"/>
      <c r="B40" s="396"/>
      <c r="C40" s="457"/>
      <c r="D40" s="394"/>
      <c r="E40" s="398"/>
      <c r="F40" s="399"/>
      <c r="G40" s="381"/>
      <c r="H40" s="388"/>
    </row>
    <row r="41" spans="1:256" s="390" customFormat="1">
      <c r="A41" s="354" t="s">
        <v>267</v>
      </c>
      <c r="B41" s="355" t="s">
        <v>268</v>
      </c>
      <c r="C41" s="455"/>
      <c r="D41" s="352"/>
      <c r="E41" s="360"/>
      <c r="F41" s="361"/>
      <c r="G41" s="381"/>
      <c r="IV41" s="391"/>
    </row>
    <row r="42" spans="1:256" s="390" customFormat="1">
      <c r="A42" s="354"/>
      <c r="B42" s="355"/>
      <c r="C42" s="455"/>
      <c r="D42" s="352"/>
      <c r="E42" s="360"/>
      <c r="F42" s="361"/>
      <c r="G42" s="381"/>
      <c r="I42" s="390" t="s">
        <v>221</v>
      </c>
      <c r="J42" s="390" t="s">
        <v>222</v>
      </c>
      <c r="K42" s="390" t="s">
        <v>223</v>
      </c>
      <c r="L42" s="390" t="s">
        <v>224</v>
      </c>
      <c r="M42" s="390" t="s">
        <v>225</v>
      </c>
      <c r="N42" s="390" t="s">
        <v>226</v>
      </c>
      <c r="O42" s="390" t="s">
        <v>227</v>
      </c>
      <c r="P42" s="390" t="s">
        <v>228</v>
      </c>
      <c r="Q42" s="390" t="s">
        <v>229</v>
      </c>
      <c r="R42" s="390" t="s">
        <v>230</v>
      </c>
      <c r="S42" s="390" t="s">
        <v>231</v>
      </c>
      <c r="T42" s="390" t="s">
        <v>232</v>
      </c>
      <c r="U42" s="390" t="s">
        <v>233</v>
      </c>
      <c r="V42" s="390" t="s">
        <v>234</v>
      </c>
      <c r="W42" s="390" t="s">
        <v>235</v>
      </c>
      <c r="X42" s="390" t="s">
        <v>236</v>
      </c>
      <c r="Y42" s="390" t="s">
        <v>237</v>
      </c>
      <c r="IV42" s="391"/>
    </row>
    <row r="43" spans="1:256" s="390" customFormat="1" ht="38.25">
      <c r="A43" s="364" t="s">
        <v>269</v>
      </c>
      <c r="B43" s="393" t="s">
        <v>471</v>
      </c>
      <c r="C43" s="456"/>
      <c r="D43" s="346"/>
      <c r="E43" s="400"/>
      <c r="F43" s="401"/>
      <c r="G43" s="381"/>
      <c r="I43" s="390" t="s">
        <v>482</v>
      </c>
      <c r="K43" s="390">
        <v>0</v>
      </c>
      <c r="L43" s="390">
        <v>5.04</v>
      </c>
      <c r="M43" s="390">
        <v>0</v>
      </c>
      <c r="N43" s="390">
        <v>70.2</v>
      </c>
      <c r="O43" s="390">
        <v>70.2</v>
      </c>
      <c r="P43" s="390">
        <v>0</v>
      </c>
      <c r="Q43" s="390">
        <v>0</v>
      </c>
      <c r="R43" s="390">
        <v>0</v>
      </c>
      <c r="S43" s="390">
        <v>0</v>
      </c>
      <c r="T43" s="390">
        <v>69.89</v>
      </c>
      <c r="U43" s="390">
        <v>28.24</v>
      </c>
      <c r="V43" s="390">
        <v>18.59</v>
      </c>
      <c r="W43" s="390">
        <v>18.670000000000002</v>
      </c>
      <c r="X43" s="390">
        <v>4.3899999999999997</v>
      </c>
      <c r="Y43" s="390">
        <v>28.24</v>
      </c>
      <c r="IV43" s="391"/>
    </row>
    <row r="44" spans="1:256" s="390" customFormat="1">
      <c r="A44" s="402"/>
      <c r="B44" s="393"/>
      <c r="C44" s="454">
        <f>C8*0.8</f>
        <v>43.808</v>
      </c>
      <c r="D44" s="346" t="s">
        <v>105</v>
      </c>
      <c r="E44" s="356"/>
      <c r="F44" s="357">
        <f>C44*E44</f>
        <v>0</v>
      </c>
      <c r="G44" s="381"/>
      <c r="IV44" s="391"/>
    </row>
    <row r="45" spans="1:256" s="390" customFormat="1">
      <c r="A45" s="402"/>
      <c r="B45" s="393"/>
      <c r="C45" s="454"/>
      <c r="D45" s="346"/>
      <c r="E45" s="356"/>
      <c r="F45" s="357"/>
      <c r="G45" s="381"/>
      <c r="IV45" s="391"/>
    </row>
    <row r="46" spans="1:256" s="390" customFormat="1" ht="63.75">
      <c r="A46" s="364" t="s">
        <v>270</v>
      </c>
      <c r="B46" s="393" t="s">
        <v>271</v>
      </c>
      <c r="C46" s="454"/>
      <c r="D46" s="346"/>
      <c r="E46" s="400"/>
      <c r="F46" s="401"/>
      <c r="G46" s="381"/>
      <c r="IV46" s="391"/>
    </row>
    <row r="47" spans="1:256" s="390" customFormat="1">
      <c r="A47" s="402"/>
      <c r="B47" s="393"/>
      <c r="C47" s="454">
        <f>X43</f>
        <v>4.3899999999999997</v>
      </c>
      <c r="D47" s="346" t="s">
        <v>108</v>
      </c>
      <c r="E47" s="356"/>
      <c r="F47" s="357">
        <f>C47*E47</f>
        <v>0</v>
      </c>
      <c r="G47" s="381"/>
      <c r="IV47" s="391"/>
    </row>
    <row r="48" spans="1:256" s="390" customFormat="1">
      <c r="A48" s="402"/>
      <c r="B48" s="393"/>
      <c r="C48" s="456"/>
      <c r="D48" s="346"/>
      <c r="E48" s="356"/>
      <c r="F48" s="357"/>
      <c r="G48" s="381"/>
      <c r="IV48" s="391"/>
    </row>
    <row r="49" spans="1:256" s="390" customFormat="1" ht="89.25">
      <c r="A49" s="364" t="s">
        <v>272</v>
      </c>
      <c r="B49" s="393" t="s">
        <v>273</v>
      </c>
      <c r="C49" s="456"/>
      <c r="D49" s="346"/>
      <c r="E49" s="400"/>
      <c r="F49" s="401"/>
      <c r="G49" s="381"/>
      <c r="IV49" s="391"/>
    </row>
    <row r="50" spans="1:256" s="390" customFormat="1">
      <c r="A50" s="402"/>
      <c r="B50" s="393"/>
      <c r="C50" s="454">
        <f>W43</f>
        <v>18.670000000000002</v>
      </c>
      <c r="D50" s="346" t="s">
        <v>108</v>
      </c>
      <c r="E50" s="356"/>
      <c r="F50" s="357">
        <f>C50*E50</f>
        <v>0</v>
      </c>
      <c r="G50" s="381"/>
      <c r="IV50" s="391"/>
    </row>
    <row r="51" spans="1:256" s="390" customFormat="1">
      <c r="A51" s="402"/>
      <c r="B51" s="393"/>
      <c r="C51" s="454"/>
      <c r="D51" s="346"/>
      <c r="E51" s="356"/>
      <c r="F51" s="357"/>
      <c r="G51" s="381"/>
      <c r="IV51" s="391"/>
    </row>
    <row r="52" spans="1:256" s="390" customFormat="1" ht="76.5">
      <c r="A52" s="364" t="s">
        <v>274</v>
      </c>
      <c r="B52" s="393" t="s">
        <v>275</v>
      </c>
      <c r="C52" s="454"/>
      <c r="D52" s="346"/>
      <c r="E52" s="400"/>
      <c r="F52" s="401"/>
      <c r="G52" s="381"/>
      <c r="IV52" s="391"/>
    </row>
    <row r="53" spans="1:256" s="390" customFormat="1">
      <c r="A53" s="402"/>
      <c r="B53" s="393"/>
      <c r="C53" s="454">
        <f>C30-C47-C50</f>
        <v>31.699999999999996</v>
      </c>
      <c r="D53" s="346" t="s">
        <v>108</v>
      </c>
      <c r="E53" s="356"/>
      <c r="F53" s="357">
        <f>C53*E53</f>
        <v>0</v>
      </c>
      <c r="G53" s="381"/>
      <c r="IV53" s="391"/>
    </row>
    <row r="54" spans="1:256" s="390" customFormat="1">
      <c r="A54" s="402"/>
      <c r="B54" s="393"/>
      <c r="C54" s="454"/>
      <c r="D54" s="346"/>
      <c r="E54" s="356"/>
      <c r="F54" s="357"/>
      <c r="G54" s="381"/>
      <c r="IV54" s="391"/>
    </row>
    <row r="55" spans="1:256" s="390" customFormat="1">
      <c r="A55" s="364"/>
      <c r="B55" s="362"/>
      <c r="C55" s="454"/>
      <c r="D55" s="346"/>
      <c r="E55" s="365"/>
      <c r="F55" s="366"/>
      <c r="G55" s="381"/>
      <c r="IV55" s="391"/>
    </row>
    <row r="56" spans="1:256" s="390" customFormat="1">
      <c r="A56" s="364"/>
      <c r="B56" s="362"/>
      <c r="C56" s="454"/>
      <c r="D56" s="346"/>
      <c r="E56" s="365"/>
      <c r="F56" s="366"/>
      <c r="G56" s="381"/>
      <c r="IV56" s="391"/>
    </row>
    <row r="57" spans="1:256" s="390" customFormat="1">
      <c r="A57" s="364"/>
      <c r="B57" s="362"/>
      <c r="C57" s="454"/>
      <c r="D57" s="346"/>
      <c r="E57" s="365"/>
      <c r="F57" s="366"/>
      <c r="G57" s="381"/>
      <c r="IV57" s="391"/>
    </row>
    <row r="58" spans="1:256" s="389" customFormat="1" ht="51">
      <c r="A58" s="364" t="s">
        <v>276</v>
      </c>
      <c r="B58" s="393" t="s">
        <v>279</v>
      </c>
      <c r="C58" s="454"/>
      <c r="D58" s="346"/>
      <c r="E58" s="400"/>
      <c r="F58" s="401"/>
      <c r="G58" s="381"/>
      <c r="H58" s="381"/>
    </row>
    <row r="59" spans="1:256" s="389" customFormat="1">
      <c r="A59" s="402"/>
      <c r="B59" s="393"/>
      <c r="C59" s="454">
        <f>(C30+C36-C53)*1.4</f>
        <v>32.283999999999999</v>
      </c>
      <c r="D59" s="346" t="s">
        <v>108</v>
      </c>
      <c r="E59" s="356"/>
      <c r="F59" s="357">
        <f>C59*E59</f>
        <v>0</v>
      </c>
      <c r="G59" s="381"/>
      <c r="H59" s="381"/>
    </row>
    <row r="60" spans="1:256" s="389" customFormat="1">
      <c r="A60" s="402"/>
      <c r="B60" s="393"/>
      <c r="C60" s="454"/>
      <c r="D60" s="346"/>
      <c r="E60" s="356"/>
      <c r="F60" s="357"/>
      <c r="G60" s="381"/>
      <c r="H60" s="388"/>
    </row>
    <row r="61" spans="1:256" s="389" customFormat="1">
      <c r="A61" s="364" t="s">
        <v>278</v>
      </c>
      <c r="B61" s="393" t="s">
        <v>281</v>
      </c>
      <c r="C61" s="454"/>
      <c r="D61" s="346"/>
      <c r="E61" s="400"/>
      <c r="F61" s="401"/>
      <c r="G61" s="381"/>
      <c r="H61" s="388"/>
    </row>
    <row r="62" spans="1:256" s="389" customFormat="1">
      <c r="A62" s="402"/>
      <c r="B62" s="393"/>
      <c r="C62" s="454">
        <v>5</v>
      </c>
      <c r="D62" s="346" t="s">
        <v>71</v>
      </c>
      <c r="E62" s="356"/>
      <c r="F62" s="357">
        <f>C62*E62</f>
        <v>0</v>
      </c>
      <c r="G62" s="381"/>
      <c r="H62" s="388"/>
    </row>
    <row r="63" spans="1:256" s="389" customFormat="1">
      <c r="A63" s="402"/>
      <c r="B63" s="393"/>
      <c r="C63" s="456"/>
      <c r="D63" s="346"/>
      <c r="E63" s="356"/>
      <c r="F63" s="357"/>
      <c r="G63" s="381"/>
      <c r="H63" s="388"/>
    </row>
    <row r="64" spans="1:256" s="389" customFormat="1">
      <c r="A64" s="354" t="s">
        <v>267</v>
      </c>
      <c r="B64" s="355" t="s">
        <v>282</v>
      </c>
      <c r="C64" s="455"/>
      <c r="D64" s="352"/>
      <c r="E64" s="360"/>
      <c r="F64" s="361">
        <f>SUM(F43:F62)</f>
        <v>0</v>
      </c>
      <c r="G64" s="381"/>
      <c r="H64" s="390"/>
    </row>
    <row r="65" spans="1:12" s="389" customFormat="1">
      <c r="A65" s="354"/>
      <c r="B65" s="355"/>
      <c r="C65" s="455"/>
      <c r="D65" s="352"/>
      <c r="E65" s="360"/>
      <c r="F65" s="361"/>
      <c r="G65" s="381"/>
      <c r="H65" s="390"/>
    </row>
    <row r="66" spans="1:12" s="389" customFormat="1" ht="38.25">
      <c r="A66" s="364" t="s">
        <v>280</v>
      </c>
      <c r="B66" s="393" t="s">
        <v>284</v>
      </c>
      <c r="C66" s="456"/>
      <c r="D66" s="394"/>
      <c r="E66" s="356"/>
      <c r="F66" s="357"/>
      <c r="G66" s="381"/>
      <c r="H66" s="388"/>
    </row>
    <row r="67" spans="1:12" s="389" customFormat="1">
      <c r="A67" s="395"/>
      <c r="B67" s="396"/>
      <c r="C67" s="470"/>
      <c r="D67" s="394"/>
      <c r="E67" s="404"/>
      <c r="F67" s="715">
        <f>SUM(F64,F39)*0.05</f>
        <v>0</v>
      </c>
      <c r="G67" s="381"/>
      <c r="H67" s="388"/>
    </row>
    <row r="68" spans="1:12" s="389" customFormat="1">
      <c r="A68" s="354"/>
      <c r="B68" s="355"/>
      <c r="C68" s="455"/>
      <c r="D68" s="352"/>
      <c r="E68" s="360"/>
      <c r="F68" s="361"/>
      <c r="G68" s="381"/>
      <c r="H68" s="390"/>
    </row>
    <row r="69" spans="1:12" s="350" customFormat="1">
      <c r="A69" s="348" t="s">
        <v>177</v>
      </c>
      <c r="B69" s="349" t="s">
        <v>285</v>
      </c>
      <c r="C69" s="468"/>
      <c r="E69" s="376"/>
      <c r="F69" s="377">
        <f>F67+F64+F39</f>
        <v>0</v>
      </c>
      <c r="G69" s="345"/>
    </row>
    <row r="70" spans="1:12" s="350" customFormat="1">
      <c r="A70" s="348"/>
      <c r="B70" s="349"/>
      <c r="C70" s="468"/>
      <c r="E70" s="376"/>
      <c r="F70" s="377"/>
      <c r="G70" s="345"/>
    </row>
    <row r="71" spans="1:12" s="407" customFormat="1">
      <c r="A71" s="348" t="s">
        <v>175</v>
      </c>
      <c r="B71" s="349" t="s">
        <v>286</v>
      </c>
      <c r="C71" s="468"/>
      <c r="D71" s="350"/>
      <c r="E71" s="376"/>
      <c r="F71" s="377"/>
    </row>
    <row r="72" spans="1:12" s="407" customFormat="1">
      <c r="A72" s="349"/>
      <c r="B72" s="349"/>
      <c r="C72" s="471"/>
      <c r="D72" s="409"/>
      <c r="E72" s="410"/>
      <c r="F72" s="411"/>
    </row>
    <row r="73" spans="1:12" s="407" customFormat="1">
      <c r="A73" s="392"/>
      <c r="B73" s="393"/>
      <c r="C73" s="456"/>
      <c r="D73" s="346"/>
      <c r="E73" s="356"/>
      <c r="F73" s="357"/>
    </row>
    <row r="74" spans="1:12" s="407" customFormat="1" ht="38.25">
      <c r="A74" s="364" t="s">
        <v>291</v>
      </c>
      <c r="B74" s="393" t="s">
        <v>290</v>
      </c>
      <c r="C74" s="456"/>
      <c r="D74" s="346"/>
      <c r="E74" s="356"/>
      <c r="F74" s="357"/>
    </row>
    <row r="75" spans="1:12" s="407" customFormat="1">
      <c r="A75" s="392"/>
      <c r="B75" s="393"/>
      <c r="C75" s="454">
        <v>2</v>
      </c>
      <c r="D75" s="346" t="s">
        <v>190</v>
      </c>
      <c r="E75" s="356"/>
      <c r="F75" s="357">
        <f>C75*E75</f>
        <v>0</v>
      </c>
    </row>
    <row r="76" spans="1:12" s="407" customFormat="1">
      <c r="A76" s="392"/>
      <c r="B76" s="393"/>
      <c r="C76" s="456"/>
      <c r="D76" s="346"/>
      <c r="E76" s="356"/>
      <c r="F76" s="357"/>
    </row>
    <row r="77" spans="1:12" s="350" customFormat="1" ht="38.25">
      <c r="A77" s="364" t="s">
        <v>329</v>
      </c>
      <c r="B77" s="393" t="s">
        <v>292</v>
      </c>
      <c r="C77" s="456"/>
      <c r="D77" s="346"/>
      <c r="E77" s="356"/>
      <c r="F77" s="357"/>
      <c r="G77" s="345"/>
    </row>
    <row r="78" spans="1:12" s="350" customFormat="1">
      <c r="A78" s="413"/>
      <c r="B78" s="393"/>
      <c r="C78" s="454">
        <v>6</v>
      </c>
      <c r="D78" s="346" t="s">
        <v>105</v>
      </c>
      <c r="E78" s="356"/>
      <c r="F78" s="357">
        <f>C78*E78</f>
        <v>0</v>
      </c>
      <c r="G78" s="381"/>
      <c r="I78" s="346"/>
      <c r="J78" s="346"/>
      <c r="K78" s="346"/>
      <c r="L78" s="346"/>
    </row>
    <row r="79" spans="1:12" s="389" customFormat="1">
      <c r="A79" s="413"/>
      <c r="B79" s="393"/>
      <c r="C79" s="454"/>
      <c r="D79" s="346"/>
      <c r="E79" s="356"/>
      <c r="F79" s="357"/>
      <c r="G79" s="381"/>
      <c r="H79" s="381"/>
      <c r="I79" s="346"/>
      <c r="J79" s="346"/>
      <c r="K79" s="346"/>
      <c r="L79" s="346"/>
    </row>
    <row r="80" spans="1:12" s="389" customFormat="1">
      <c r="A80" s="348" t="s">
        <v>175</v>
      </c>
      <c r="B80" s="349" t="s">
        <v>293</v>
      </c>
      <c r="C80" s="464"/>
      <c r="D80" s="350"/>
      <c r="E80" s="376"/>
      <c r="F80" s="377">
        <f>SUM(F73:F79)</f>
        <v>0</v>
      </c>
      <c r="G80" s="381"/>
      <c r="H80" s="390"/>
      <c r="I80" s="346"/>
      <c r="J80" s="346"/>
      <c r="K80" s="346"/>
      <c r="L80" s="346"/>
    </row>
    <row r="81" spans="1:256" s="389" customFormat="1">
      <c r="A81" s="348"/>
      <c r="B81" s="349"/>
      <c r="C81" s="464"/>
      <c r="D81" s="350"/>
      <c r="E81" s="376"/>
      <c r="F81" s="377"/>
      <c r="G81" s="381"/>
      <c r="H81" s="390"/>
      <c r="I81" s="352"/>
      <c r="J81" s="352"/>
      <c r="K81" s="352"/>
      <c r="L81" s="352"/>
    </row>
    <row r="82" spans="1:256" s="389" customFormat="1">
      <c r="A82" s="348" t="s">
        <v>185</v>
      </c>
      <c r="B82" s="349" t="s">
        <v>294</v>
      </c>
      <c r="C82" s="464"/>
      <c r="D82" s="350"/>
      <c r="E82" s="376"/>
      <c r="F82" s="377"/>
      <c r="G82" s="381"/>
      <c r="H82" s="390"/>
      <c r="I82" s="352"/>
      <c r="J82" s="352"/>
      <c r="K82" s="352"/>
      <c r="L82" s="352"/>
    </row>
    <row r="83" spans="1:256" s="389" customFormat="1" ht="8.25" customHeight="1">
      <c r="A83" s="402"/>
      <c r="B83" s="393"/>
      <c r="C83" s="454"/>
      <c r="D83" s="346"/>
      <c r="E83" s="356"/>
      <c r="F83" s="357"/>
      <c r="G83" s="381"/>
      <c r="H83" s="415"/>
      <c r="I83" s="346" t="s">
        <v>221</v>
      </c>
      <c r="J83" s="346" t="s">
        <v>238</v>
      </c>
      <c r="K83" s="346" t="s">
        <v>239</v>
      </c>
      <c r="L83" s="346"/>
    </row>
    <row r="84" spans="1:256" s="389" customFormat="1" ht="9" customHeight="1">
      <c r="A84" s="392"/>
      <c r="B84" s="393"/>
      <c r="C84" s="454"/>
      <c r="D84" s="346"/>
      <c r="E84" s="400"/>
      <c r="F84" s="401"/>
      <c r="G84" s="381"/>
      <c r="H84" s="415"/>
      <c r="I84" s="346" t="s">
        <v>306</v>
      </c>
      <c r="J84" s="346">
        <v>100</v>
      </c>
      <c r="K84" s="346">
        <v>0</v>
      </c>
      <c r="L84" s="346"/>
    </row>
    <row r="85" spans="1:256" s="389" customFormat="1">
      <c r="A85" s="364"/>
      <c r="B85" s="393"/>
      <c r="C85" s="454"/>
      <c r="D85" s="346"/>
      <c r="E85" s="356"/>
      <c r="F85" s="357"/>
      <c r="G85" s="381"/>
      <c r="H85" s="415"/>
      <c r="I85" s="346" t="s">
        <v>221</v>
      </c>
      <c r="J85" s="346" t="s">
        <v>238</v>
      </c>
      <c r="K85" s="346" t="s">
        <v>239</v>
      </c>
      <c r="L85" s="346"/>
    </row>
    <row r="86" spans="1:256" s="389" customFormat="1">
      <c r="A86" s="364"/>
      <c r="B86" s="393"/>
      <c r="C86" s="454"/>
      <c r="D86" s="346"/>
      <c r="E86" s="356"/>
      <c r="F86" s="357"/>
      <c r="G86" s="381"/>
      <c r="H86" s="415"/>
      <c r="I86" s="346" t="s">
        <v>308</v>
      </c>
      <c r="J86" s="346">
        <v>80</v>
      </c>
      <c r="K86" s="346">
        <v>54.76</v>
      </c>
      <c r="L86" s="346"/>
    </row>
    <row r="87" spans="1:256" s="389" customFormat="1">
      <c r="A87" s="402"/>
      <c r="B87" s="393"/>
      <c r="C87" s="454"/>
      <c r="D87" s="346"/>
      <c r="E87" s="356"/>
      <c r="F87" s="357"/>
      <c r="G87" s="381"/>
      <c r="H87" s="415"/>
      <c r="I87" s="346"/>
      <c r="J87" s="346"/>
      <c r="K87" s="346"/>
      <c r="L87" s="346"/>
    </row>
    <row r="88" spans="1:256" s="389" customFormat="1" ht="24.75" customHeight="1">
      <c r="A88" s="392"/>
      <c r="B88" s="393" t="s">
        <v>315</v>
      </c>
      <c r="C88" s="454"/>
      <c r="D88" s="346"/>
      <c r="E88" s="400"/>
      <c r="F88" s="401"/>
      <c r="G88" s="381"/>
      <c r="H88" s="390"/>
      <c r="I88" s="346"/>
      <c r="J88" s="346"/>
      <c r="K88" s="346"/>
      <c r="L88" s="346"/>
    </row>
    <row r="89" spans="1:256" s="389" customFormat="1">
      <c r="A89" s="364" t="s">
        <v>297</v>
      </c>
      <c r="B89" s="393" t="s">
        <v>308</v>
      </c>
      <c r="C89" s="454">
        <f>K86</f>
        <v>54.76</v>
      </c>
      <c r="D89" s="346" t="s">
        <v>115</v>
      </c>
      <c r="E89" s="356"/>
      <c r="F89" s="357">
        <f>C89*E89</f>
        <v>0</v>
      </c>
      <c r="G89" s="381"/>
      <c r="H89" s="390"/>
      <c r="I89" s="346"/>
      <c r="J89" s="346"/>
      <c r="K89" s="346"/>
      <c r="L89" s="346"/>
    </row>
    <row r="90" spans="1:256" s="389" customFormat="1">
      <c r="A90" s="402"/>
      <c r="B90" s="393"/>
      <c r="C90" s="454"/>
      <c r="D90" s="346"/>
      <c r="E90" s="356"/>
      <c r="F90" s="357"/>
      <c r="G90" s="381"/>
      <c r="H90" s="390"/>
      <c r="I90" s="346"/>
      <c r="J90" s="346"/>
      <c r="K90" s="346"/>
      <c r="L90" s="346"/>
    </row>
    <row r="91" spans="1:256" s="389" customFormat="1" ht="76.5">
      <c r="A91" s="392"/>
      <c r="B91" s="393" t="s">
        <v>319</v>
      </c>
      <c r="C91" s="454"/>
      <c r="D91" s="346"/>
      <c r="E91" s="400"/>
      <c r="F91" s="401"/>
      <c r="G91" s="381"/>
      <c r="H91" s="390"/>
    </row>
    <row r="92" spans="1:256" s="389" customFormat="1">
      <c r="A92" s="364" t="s">
        <v>316</v>
      </c>
      <c r="B92" s="393" t="s">
        <v>308</v>
      </c>
      <c r="C92" s="454">
        <f>C89</f>
        <v>54.76</v>
      </c>
      <c r="D92" s="346" t="s">
        <v>115</v>
      </c>
      <c r="E92" s="356"/>
      <c r="F92" s="357">
        <f>C92*E92</f>
        <v>0</v>
      </c>
      <c r="G92" s="381"/>
      <c r="H92" s="390"/>
    </row>
    <row r="93" spans="1:256" s="389" customFormat="1">
      <c r="A93" s="354"/>
      <c r="B93" s="355"/>
      <c r="C93" s="455"/>
      <c r="D93" s="352"/>
      <c r="E93" s="360"/>
      <c r="F93" s="361"/>
    </row>
    <row r="94" spans="1:256" s="346" customFormat="1">
      <c r="A94" s="348" t="s">
        <v>185</v>
      </c>
      <c r="B94" s="349" t="s">
        <v>299</v>
      </c>
      <c r="C94" s="464"/>
      <c r="D94" s="350"/>
      <c r="E94" s="376"/>
      <c r="F94" s="377">
        <f>SUM(F83:F92)</f>
        <v>0</v>
      </c>
      <c r="G94" s="345"/>
      <c r="H94" s="345"/>
    </row>
    <row r="95" spans="1:256" s="350" customFormat="1">
      <c r="A95" s="354"/>
      <c r="B95" s="355"/>
      <c r="C95" s="455"/>
      <c r="D95" s="352"/>
      <c r="E95" s="352"/>
      <c r="F95" s="353"/>
      <c r="G95" s="381"/>
    </row>
    <row r="96" spans="1:256" s="352" customFormat="1">
      <c r="A96" s="348" t="s">
        <v>102</v>
      </c>
      <c r="B96" s="349" t="s">
        <v>170</v>
      </c>
      <c r="C96" s="464"/>
      <c r="D96" s="350"/>
      <c r="E96" s="376"/>
      <c r="F96" s="377"/>
      <c r="G96" s="345"/>
      <c r="H96" s="345"/>
      <c r="IV96" s="405"/>
    </row>
    <row r="97" spans="1:6">
      <c r="A97" s="402"/>
      <c r="B97" s="368"/>
      <c r="C97" s="456"/>
      <c r="D97" s="346"/>
      <c r="E97" s="426"/>
      <c r="F97" s="427"/>
    </row>
    <row r="98" spans="1:6" ht="25.5">
      <c r="A98" s="364" t="s">
        <v>300</v>
      </c>
      <c r="B98" s="393" t="s">
        <v>301</v>
      </c>
      <c r="C98" s="454"/>
      <c r="D98" s="346"/>
      <c r="E98" s="400"/>
      <c r="F98" s="401"/>
    </row>
    <row r="99" spans="1:6">
      <c r="A99" s="402"/>
      <c r="B99" s="393"/>
      <c r="C99" s="454">
        <f>C8</f>
        <v>54.76</v>
      </c>
      <c r="D99" s="346" t="s">
        <v>115</v>
      </c>
      <c r="E99" s="356"/>
      <c r="F99" s="357">
        <f>C99*E99</f>
        <v>0</v>
      </c>
    </row>
    <row r="100" spans="1:6">
      <c r="A100" s="402"/>
      <c r="B100" s="393"/>
      <c r="C100" s="454"/>
      <c r="D100" s="346"/>
      <c r="E100" s="356"/>
      <c r="F100" s="357"/>
    </row>
    <row r="101" spans="1:6" ht="51">
      <c r="A101" s="364" t="s">
        <v>302</v>
      </c>
      <c r="B101" s="393" t="s">
        <v>303</v>
      </c>
      <c r="C101" s="458"/>
      <c r="D101" s="363"/>
      <c r="E101" s="414"/>
      <c r="F101" s="414"/>
    </row>
    <row r="102" spans="1:6">
      <c r="A102" s="364"/>
      <c r="B102" s="393"/>
      <c r="C102" s="454">
        <f>C99</f>
        <v>54.76</v>
      </c>
      <c r="D102" s="346" t="s">
        <v>115</v>
      </c>
      <c r="E102" s="356"/>
      <c r="F102" s="357">
        <f>C102*E102</f>
        <v>0</v>
      </c>
    </row>
    <row r="103" spans="1:6">
      <c r="C103" s="457"/>
      <c r="E103" s="406"/>
    </row>
    <row r="104" spans="1:6">
      <c r="A104" s="348" t="s">
        <v>102</v>
      </c>
      <c r="B104" s="349" t="s">
        <v>304</v>
      </c>
      <c r="C104" s="464"/>
      <c r="D104" s="350"/>
      <c r="E104" s="376"/>
      <c r="F104" s="377">
        <f>SUM(F98:F103)</f>
        <v>0</v>
      </c>
    </row>
    <row r="105" spans="1:6">
      <c r="C105" s="457"/>
      <c r="E105" s="406"/>
    </row>
    <row r="107" spans="1:6">
      <c r="A107" s="429"/>
      <c r="B107" s="346"/>
      <c r="C107" s="466"/>
      <c r="D107" s="346"/>
      <c r="E107" s="346"/>
      <c r="F107" s="346"/>
    </row>
    <row r="108" spans="1:6">
      <c r="A108" s="429"/>
      <c r="B108" s="346"/>
      <c r="C108" s="466"/>
      <c r="D108" s="346"/>
      <c r="E108" s="346"/>
      <c r="F108" s="346"/>
    </row>
  </sheetData>
  <pageMargins left="0.70866141732283472" right="0.70866141732283472" top="0.74803149606299213" bottom="0.74803149606299213" header="0.31496062992125984" footer="0.31496062992125984"/>
  <pageSetup paperSize="9" orientation="portrait" r:id="rId1"/>
  <headerFooter>
    <oddHeader>&amp;CProjekt Dolenje in Gorenje Ponikve:
Kanalizacija, rekonstrukcija vodovoda in pločnik med naseljema</oddHeader>
    <oddFooter>&amp;R&amp;P/&amp;N</oddFooter>
  </headerFooter>
  <rowBreaks count="6" manualBreakCount="6">
    <brk id="11" max="5" man="1"/>
    <brk id="23" max="5" man="1"/>
    <brk id="47" max="5" man="1"/>
    <brk id="69" max="5" man="1"/>
    <brk id="81" max="5" man="1"/>
    <brk id="94" max="5"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V118"/>
  <sheetViews>
    <sheetView view="pageBreakPreview" topLeftCell="A49" zoomScale="140" zoomScaleNormal="150" zoomScaleSheetLayoutView="140" workbookViewId="0">
      <selection activeCell="E113" sqref="E113"/>
    </sheetView>
  </sheetViews>
  <sheetFormatPr defaultColWidth="9" defaultRowHeight="12.75"/>
  <cols>
    <col min="1" max="1" width="7.42578125" style="395" bestFit="1" customWidth="1"/>
    <col min="2" max="2" width="41.42578125" style="396" customWidth="1"/>
    <col min="3" max="3" width="8.7109375" style="472" customWidth="1"/>
    <col min="4" max="4" width="6.140625" style="394" customWidth="1"/>
    <col min="5" max="5" width="12.28515625" style="394" customWidth="1"/>
    <col min="6" max="6" width="13.140625" style="428" customWidth="1"/>
    <col min="7" max="7" width="10.140625" style="394" customWidth="1"/>
    <col min="8" max="8" width="2" style="394" bestFit="1" customWidth="1"/>
    <col min="9" max="9" width="19.5703125" style="394" customWidth="1"/>
    <col min="10" max="10" width="4.85546875" style="394" customWidth="1"/>
    <col min="11" max="11" width="9.85546875" style="394" customWidth="1"/>
    <col min="12" max="12" width="12" style="394" customWidth="1"/>
    <col min="13" max="256" width="9" style="394"/>
    <col min="257" max="257" width="7.42578125" style="394" bestFit="1" customWidth="1"/>
    <col min="258" max="258" width="37.42578125" style="394" customWidth="1"/>
    <col min="259" max="259" width="14.140625" style="394" customWidth="1"/>
    <col min="260" max="260" width="6.140625" style="394" customWidth="1"/>
    <col min="261" max="261" width="12.28515625" style="394" customWidth="1"/>
    <col min="262" max="262" width="15.42578125" style="394" customWidth="1"/>
    <col min="263" max="263" width="10.140625" style="394" customWidth="1"/>
    <col min="264" max="264" width="2" style="394" bestFit="1" customWidth="1"/>
    <col min="265" max="265" width="39.42578125" style="394" customWidth="1"/>
    <col min="266" max="512" width="9" style="394"/>
    <col min="513" max="513" width="7.42578125" style="394" bestFit="1" customWidth="1"/>
    <col min="514" max="514" width="37.42578125" style="394" customWidth="1"/>
    <col min="515" max="515" width="14.140625" style="394" customWidth="1"/>
    <col min="516" max="516" width="6.140625" style="394" customWidth="1"/>
    <col min="517" max="517" width="12.28515625" style="394" customWidth="1"/>
    <col min="518" max="518" width="15.42578125" style="394" customWidth="1"/>
    <col min="519" max="519" width="10.140625" style="394" customWidth="1"/>
    <col min="520" max="520" width="2" style="394" bestFit="1" customWidth="1"/>
    <col min="521" max="521" width="39.42578125" style="394" customWidth="1"/>
    <col min="522" max="768" width="9" style="394"/>
    <col min="769" max="769" width="7.42578125" style="394" bestFit="1" customWidth="1"/>
    <col min="770" max="770" width="37.42578125" style="394" customWidth="1"/>
    <col min="771" max="771" width="14.140625" style="394" customWidth="1"/>
    <col min="772" max="772" width="6.140625" style="394" customWidth="1"/>
    <col min="773" max="773" width="12.28515625" style="394" customWidth="1"/>
    <col min="774" max="774" width="15.42578125" style="394" customWidth="1"/>
    <col min="775" max="775" width="10.140625" style="394" customWidth="1"/>
    <col min="776" max="776" width="2" style="394" bestFit="1" customWidth="1"/>
    <col min="777" max="777" width="39.42578125" style="394" customWidth="1"/>
    <col min="778" max="1024" width="9" style="394"/>
    <col min="1025" max="1025" width="7.42578125" style="394" bestFit="1" customWidth="1"/>
    <col min="1026" max="1026" width="37.42578125" style="394" customWidth="1"/>
    <col min="1027" max="1027" width="14.140625" style="394" customWidth="1"/>
    <col min="1028" max="1028" width="6.140625" style="394" customWidth="1"/>
    <col min="1029" max="1029" width="12.28515625" style="394" customWidth="1"/>
    <col min="1030" max="1030" width="15.42578125" style="394" customWidth="1"/>
    <col min="1031" max="1031" width="10.140625" style="394" customWidth="1"/>
    <col min="1032" max="1032" width="2" style="394" bestFit="1" customWidth="1"/>
    <col min="1033" max="1033" width="39.42578125" style="394" customWidth="1"/>
    <col min="1034" max="1280" width="9" style="394"/>
    <col min="1281" max="1281" width="7.42578125" style="394" bestFit="1" customWidth="1"/>
    <col min="1282" max="1282" width="37.42578125" style="394" customWidth="1"/>
    <col min="1283" max="1283" width="14.140625" style="394" customWidth="1"/>
    <col min="1284" max="1284" width="6.140625" style="394" customWidth="1"/>
    <col min="1285" max="1285" width="12.28515625" style="394" customWidth="1"/>
    <col min="1286" max="1286" width="15.42578125" style="394" customWidth="1"/>
    <col min="1287" max="1287" width="10.140625" style="394" customWidth="1"/>
    <col min="1288" max="1288" width="2" style="394" bestFit="1" customWidth="1"/>
    <col min="1289" max="1289" width="39.42578125" style="394" customWidth="1"/>
    <col min="1290" max="1536" width="9" style="394"/>
    <col min="1537" max="1537" width="7.42578125" style="394" bestFit="1" customWidth="1"/>
    <col min="1538" max="1538" width="37.42578125" style="394" customWidth="1"/>
    <col min="1539" max="1539" width="14.140625" style="394" customWidth="1"/>
    <col min="1540" max="1540" width="6.140625" style="394" customWidth="1"/>
    <col min="1541" max="1541" width="12.28515625" style="394" customWidth="1"/>
    <col min="1542" max="1542" width="15.42578125" style="394" customWidth="1"/>
    <col min="1543" max="1543" width="10.140625" style="394" customWidth="1"/>
    <col min="1544" max="1544" width="2" style="394" bestFit="1" customWidth="1"/>
    <col min="1545" max="1545" width="39.42578125" style="394" customWidth="1"/>
    <col min="1546" max="1792" width="9" style="394"/>
    <col min="1793" max="1793" width="7.42578125" style="394" bestFit="1" customWidth="1"/>
    <col min="1794" max="1794" width="37.42578125" style="394" customWidth="1"/>
    <col min="1795" max="1795" width="14.140625" style="394" customWidth="1"/>
    <col min="1796" max="1796" width="6.140625" style="394" customWidth="1"/>
    <col min="1797" max="1797" width="12.28515625" style="394" customWidth="1"/>
    <col min="1798" max="1798" width="15.42578125" style="394" customWidth="1"/>
    <col min="1799" max="1799" width="10.140625" style="394" customWidth="1"/>
    <col min="1800" max="1800" width="2" style="394" bestFit="1" customWidth="1"/>
    <col min="1801" max="1801" width="39.42578125" style="394" customWidth="1"/>
    <col min="1802" max="2048" width="9" style="394"/>
    <col min="2049" max="2049" width="7.42578125" style="394" bestFit="1" customWidth="1"/>
    <col min="2050" max="2050" width="37.42578125" style="394" customWidth="1"/>
    <col min="2051" max="2051" width="14.140625" style="394" customWidth="1"/>
    <col min="2052" max="2052" width="6.140625" style="394" customWidth="1"/>
    <col min="2053" max="2053" width="12.28515625" style="394" customWidth="1"/>
    <col min="2054" max="2054" width="15.42578125" style="394" customWidth="1"/>
    <col min="2055" max="2055" width="10.140625" style="394" customWidth="1"/>
    <col min="2056" max="2056" width="2" style="394" bestFit="1" customWidth="1"/>
    <col min="2057" max="2057" width="39.42578125" style="394" customWidth="1"/>
    <col min="2058" max="2304" width="9" style="394"/>
    <col min="2305" max="2305" width="7.42578125" style="394" bestFit="1" customWidth="1"/>
    <col min="2306" max="2306" width="37.42578125" style="394" customWidth="1"/>
    <col min="2307" max="2307" width="14.140625" style="394" customWidth="1"/>
    <col min="2308" max="2308" width="6.140625" style="394" customWidth="1"/>
    <col min="2309" max="2309" width="12.28515625" style="394" customWidth="1"/>
    <col min="2310" max="2310" width="15.42578125" style="394" customWidth="1"/>
    <col min="2311" max="2311" width="10.140625" style="394" customWidth="1"/>
    <col min="2312" max="2312" width="2" style="394" bestFit="1" customWidth="1"/>
    <col min="2313" max="2313" width="39.42578125" style="394" customWidth="1"/>
    <col min="2314" max="2560" width="9" style="394"/>
    <col min="2561" max="2561" width="7.42578125" style="394" bestFit="1" customWidth="1"/>
    <col min="2562" max="2562" width="37.42578125" style="394" customWidth="1"/>
    <col min="2563" max="2563" width="14.140625" style="394" customWidth="1"/>
    <col min="2564" max="2564" width="6.140625" style="394" customWidth="1"/>
    <col min="2565" max="2565" width="12.28515625" style="394" customWidth="1"/>
    <col min="2566" max="2566" width="15.42578125" style="394" customWidth="1"/>
    <col min="2567" max="2567" width="10.140625" style="394" customWidth="1"/>
    <col min="2568" max="2568" width="2" style="394" bestFit="1" customWidth="1"/>
    <col min="2569" max="2569" width="39.42578125" style="394" customWidth="1"/>
    <col min="2570" max="2816" width="9" style="394"/>
    <col min="2817" max="2817" width="7.42578125" style="394" bestFit="1" customWidth="1"/>
    <col min="2818" max="2818" width="37.42578125" style="394" customWidth="1"/>
    <col min="2819" max="2819" width="14.140625" style="394" customWidth="1"/>
    <col min="2820" max="2820" width="6.140625" style="394" customWidth="1"/>
    <col min="2821" max="2821" width="12.28515625" style="394" customWidth="1"/>
    <col min="2822" max="2822" width="15.42578125" style="394" customWidth="1"/>
    <col min="2823" max="2823" width="10.140625" style="394" customWidth="1"/>
    <col min="2824" max="2824" width="2" style="394" bestFit="1" customWidth="1"/>
    <col min="2825" max="2825" width="39.42578125" style="394" customWidth="1"/>
    <col min="2826" max="3072" width="9" style="394"/>
    <col min="3073" max="3073" width="7.42578125" style="394" bestFit="1" customWidth="1"/>
    <col min="3074" max="3074" width="37.42578125" style="394" customWidth="1"/>
    <col min="3075" max="3075" width="14.140625" style="394" customWidth="1"/>
    <col min="3076" max="3076" width="6.140625" style="394" customWidth="1"/>
    <col min="3077" max="3077" width="12.28515625" style="394" customWidth="1"/>
    <col min="3078" max="3078" width="15.42578125" style="394" customWidth="1"/>
    <col min="3079" max="3079" width="10.140625" style="394" customWidth="1"/>
    <col min="3080" max="3080" width="2" style="394" bestFit="1" customWidth="1"/>
    <col min="3081" max="3081" width="39.42578125" style="394" customWidth="1"/>
    <col min="3082" max="3328" width="9" style="394"/>
    <col min="3329" max="3329" width="7.42578125" style="394" bestFit="1" customWidth="1"/>
    <col min="3330" max="3330" width="37.42578125" style="394" customWidth="1"/>
    <col min="3331" max="3331" width="14.140625" style="394" customWidth="1"/>
    <col min="3332" max="3332" width="6.140625" style="394" customWidth="1"/>
    <col min="3333" max="3333" width="12.28515625" style="394" customWidth="1"/>
    <col min="3334" max="3334" width="15.42578125" style="394" customWidth="1"/>
    <col min="3335" max="3335" width="10.140625" style="394" customWidth="1"/>
    <col min="3336" max="3336" width="2" style="394" bestFit="1" customWidth="1"/>
    <col min="3337" max="3337" width="39.42578125" style="394" customWidth="1"/>
    <col min="3338" max="3584" width="9" style="394"/>
    <col min="3585" max="3585" width="7.42578125" style="394" bestFit="1" customWidth="1"/>
    <col min="3586" max="3586" width="37.42578125" style="394" customWidth="1"/>
    <col min="3587" max="3587" width="14.140625" style="394" customWidth="1"/>
    <col min="3588" max="3588" width="6.140625" style="394" customWidth="1"/>
    <col min="3589" max="3589" width="12.28515625" style="394" customWidth="1"/>
    <col min="3590" max="3590" width="15.42578125" style="394" customWidth="1"/>
    <col min="3591" max="3591" width="10.140625" style="394" customWidth="1"/>
    <col min="3592" max="3592" width="2" style="394" bestFit="1" customWidth="1"/>
    <col min="3593" max="3593" width="39.42578125" style="394" customWidth="1"/>
    <col min="3594" max="3840" width="9" style="394"/>
    <col min="3841" max="3841" width="7.42578125" style="394" bestFit="1" customWidth="1"/>
    <col min="3842" max="3842" width="37.42578125" style="394" customWidth="1"/>
    <col min="3843" max="3843" width="14.140625" style="394" customWidth="1"/>
    <col min="3844" max="3844" width="6.140625" style="394" customWidth="1"/>
    <col min="3845" max="3845" width="12.28515625" style="394" customWidth="1"/>
    <col min="3846" max="3846" width="15.42578125" style="394" customWidth="1"/>
    <col min="3847" max="3847" width="10.140625" style="394" customWidth="1"/>
    <col min="3848" max="3848" width="2" style="394" bestFit="1" customWidth="1"/>
    <col min="3849" max="3849" width="39.42578125" style="394" customWidth="1"/>
    <col min="3850" max="4096" width="9" style="394"/>
    <col min="4097" max="4097" width="7.42578125" style="394" bestFit="1" customWidth="1"/>
    <col min="4098" max="4098" width="37.42578125" style="394" customWidth="1"/>
    <col min="4099" max="4099" width="14.140625" style="394" customWidth="1"/>
    <col min="4100" max="4100" width="6.140625" style="394" customWidth="1"/>
    <col min="4101" max="4101" width="12.28515625" style="394" customWidth="1"/>
    <col min="4102" max="4102" width="15.42578125" style="394" customWidth="1"/>
    <col min="4103" max="4103" width="10.140625" style="394" customWidth="1"/>
    <col min="4104" max="4104" width="2" style="394" bestFit="1" customWidth="1"/>
    <col min="4105" max="4105" width="39.42578125" style="394" customWidth="1"/>
    <col min="4106" max="4352" width="9" style="394"/>
    <col min="4353" max="4353" width="7.42578125" style="394" bestFit="1" customWidth="1"/>
    <col min="4354" max="4354" width="37.42578125" style="394" customWidth="1"/>
    <col min="4355" max="4355" width="14.140625" style="394" customWidth="1"/>
    <col min="4356" max="4356" width="6.140625" style="394" customWidth="1"/>
    <col min="4357" max="4357" width="12.28515625" style="394" customWidth="1"/>
    <col min="4358" max="4358" width="15.42578125" style="394" customWidth="1"/>
    <col min="4359" max="4359" width="10.140625" style="394" customWidth="1"/>
    <col min="4360" max="4360" width="2" style="394" bestFit="1" customWidth="1"/>
    <col min="4361" max="4361" width="39.42578125" style="394" customWidth="1"/>
    <col min="4362" max="4608" width="9" style="394"/>
    <col min="4609" max="4609" width="7.42578125" style="394" bestFit="1" customWidth="1"/>
    <col min="4610" max="4610" width="37.42578125" style="394" customWidth="1"/>
    <col min="4611" max="4611" width="14.140625" style="394" customWidth="1"/>
    <col min="4612" max="4612" width="6.140625" style="394" customWidth="1"/>
    <col min="4613" max="4613" width="12.28515625" style="394" customWidth="1"/>
    <col min="4614" max="4614" width="15.42578125" style="394" customWidth="1"/>
    <col min="4615" max="4615" width="10.140625" style="394" customWidth="1"/>
    <col min="4616" max="4616" width="2" style="394" bestFit="1" customWidth="1"/>
    <col min="4617" max="4617" width="39.42578125" style="394" customWidth="1"/>
    <col min="4618" max="4864" width="9" style="394"/>
    <col min="4865" max="4865" width="7.42578125" style="394" bestFit="1" customWidth="1"/>
    <col min="4866" max="4866" width="37.42578125" style="394" customWidth="1"/>
    <col min="4867" max="4867" width="14.140625" style="394" customWidth="1"/>
    <col min="4868" max="4868" width="6.140625" style="394" customWidth="1"/>
    <col min="4869" max="4869" width="12.28515625" style="394" customWidth="1"/>
    <col min="4870" max="4870" width="15.42578125" style="394" customWidth="1"/>
    <col min="4871" max="4871" width="10.140625" style="394" customWidth="1"/>
    <col min="4872" max="4872" width="2" style="394" bestFit="1" customWidth="1"/>
    <col min="4873" max="4873" width="39.42578125" style="394" customWidth="1"/>
    <col min="4874" max="5120" width="9" style="394"/>
    <col min="5121" max="5121" width="7.42578125" style="394" bestFit="1" customWidth="1"/>
    <col min="5122" max="5122" width="37.42578125" style="394" customWidth="1"/>
    <col min="5123" max="5123" width="14.140625" style="394" customWidth="1"/>
    <col min="5124" max="5124" width="6.140625" style="394" customWidth="1"/>
    <col min="5125" max="5125" width="12.28515625" style="394" customWidth="1"/>
    <col min="5126" max="5126" width="15.42578125" style="394" customWidth="1"/>
    <col min="5127" max="5127" width="10.140625" style="394" customWidth="1"/>
    <col min="5128" max="5128" width="2" style="394" bestFit="1" customWidth="1"/>
    <col min="5129" max="5129" width="39.42578125" style="394" customWidth="1"/>
    <col min="5130" max="5376" width="9" style="394"/>
    <col min="5377" max="5377" width="7.42578125" style="394" bestFit="1" customWidth="1"/>
    <col min="5378" max="5378" width="37.42578125" style="394" customWidth="1"/>
    <col min="5379" max="5379" width="14.140625" style="394" customWidth="1"/>
    <col min="5380" max="5380" width="6.140625" style="394" customWidth="1"/>
    <col min="5381" max="5381" width="12.28515625" style="394" customWidth="1"/>
    <col min="5382" max="5382" width="15.42578125" style="394" customWidth="1"/>
    <col min="5383" max="5383" width="10.140625" style="394" customWidth="1"/>
    <col min="5384" max="5384" width="2" style="394" bestFit="1" customWidth="1"/>
    <col min="5385" max="5385" width="39.42578125" style="394" customWidth="1"/>
    <col min="5386" max="5632" width="9" style="394"/>
    <col min="5633" max="5633" width="7.42578125" style="394" bestFit="1" customWidth="1"/>
    <col min="5634" max="5634" width="37.42578125" style="394" customWidth="1"/>
    <col min="5635" max="5635" width="14.140625" style="394" customWidth="1"/>
    <col min="5636" max="5636" width="6.140625" style="394" customWidth="1"/>
    <col min="5637" max="5637" width="12.28515625" style="394" customWidth="1"/>
    <col min="5638" max="5638" width="15.42578125" style="394" customWidth="1"/>
    <col min="5639" max="5639" width="10.140625" style="394" customWidth="1"/>
    <col min="5640" max="5640" width="2" style="394" bestFit="1" customWidth="1"/>
    <col min="5641" max="5641" width="39.42578125" style="394" customWidth="1"/>
    <col min="5642" max="5888" width="9" style="394"/>
    <col min="5889" max="5889" width="7.42578125" style="394" bestFit="1" customWidth="1"/>
    <col min="5890" max="5890" width="37.42578125" style="394" customWidth="1"/>
    <col min="5891" max="5891" width="14.140625" style="394" customWidth="1"/>
    <col min="5892" max="5892" width="6.140625" style="394" customWidth="1"/>
    <col min="5893" max="5893" width="12.28515625" style="394" customWidth="1"/>
    <col min="5894" max="5894" width="15.42578125" style="394" customWidth="1"/>
    <col min="5895" max="5895" width="10.140625" style="394" customWidth="1"/>
    <col min="5896" max="5896" width="2" style="394" bestFit="1" customWidth="1"/>
    <col min="5897" max="5897" width="39.42578125" style="394" customWidth="1"/>
    <col min="5898" max="6144" width="9" style="394"/>
    <col min="6145" max="6145" width="7.42578125" style="394" bestFit="1" customWidth="1"/>
    <col min="6146" max="6146" width="37.42578125" style="394" customWidth="1"/>
    <col min="6147" max="6147" width="14.140625" style="394" customWidth="1"/>
    <col min="6148" max="6148" width="6.140625" style="394" customWidth="1"/>
    <col min="6149" max="6149" width="12.28515625" style="394" customWidth="1"/>
    <col min="6150" max="6150" width="15.42578125" style="394" customWidth="1"/>
    <col min="6151" max="6151" width="10.140625" style="394" customWidth="1"/>
    <col min="6152" max="6152" width="2" style="394" bestFit="1" customWidth="1"/>
    <col min="6153" max="6153" width="39.42578125" style="394" customWidth="1"/>
    <col min="6154" max="6400" width="9" style="394"/>
    <col min="6401" max="6401" width="7.42578125" style="394" bestFit="1" customWidth="1"/>
    <col min="6402" max="6402" width="37.42578125" style="394" customWidth="1"/>
    <col min="6403" max="6403" width="14.140625" style="394" customWidth="1"/>
    <col min="6404" max="6404" width="6.140625" style="394" customWidth="1"/>
    <col min="6405" max="6405" width="12.28515625" style="394" customWidth="1"/>
    <col min="6406" max="6406" width="15.42578125" style="394" customWidth="1"/>
    <col min="6407" max="6407" width="10.140625" style="394" customWidth="1"/>
    <col min="6408" max="6408" width="2" style="394" bestFit="1" customWidth="1"/>
    <col min="6409" max="6409" width="39.42578125" style="394" customWidth="1"/>
    <col min="6410" max="6656" width="9" style="394"/>
    <col min="6657" max="6657" width="7.42578125" style="394" bestFit="1" customWidth="1"/>
    <col min="6658" max="6658" width="37.42578125" style="394" customWidth="1"/>
    <col min="6659" max="6659" width="14.140625" style="394" customWidth="1"/>
    <col min="6660" max="6660" width="6.140625" style="394" customWidth="1"/>
    <col min="6661" max="6661" width="12.28515625" style="394" customWidth="1"/>
    <col min="6662" max="6662" width="15.42578125" style="394" customWidth="1"/>
    <col min="6663" max="6663" width="10.140625" style="394" customWidth="1"/>
    <col min="6664" max="6664" width="2" style="394" bestFit="1" customWidth="1"/>
    <col min="6665" max="6665" width="39.42578125" style="394" customWidth="1"/>
    <col min="6666" max="6912" width="9" style="394"/>
    <col min="6913" max="6913" width="7.42578125" style="394" bestFit="1" customWidth="1"/>
    <col min="6914" max="6914" width="37.42578125" style="394" customWidth="1"/>
    <col min="6915" max="6915" width="14.140625" style="394" customWidth="1"/>
    <col min="6916" max="6916" width="6.140625" style="394" customWidth="1"/>
    <col min="6917" max="6917" width="12.28515625" style="394" customWidth="1"/>
    <col min="6918" max="6918" width="15.42578125" style="394" customWidth="1"/>
    <col min="6919" max="6919" width="10.140625" style="394" customWidth="1"/>
    <col min="6920" max="6920" width="2" style="394" bestFit="1" customWidth="1"/>
    <col min="6921" max="6921" width="39.42578125" style="394" customWidth="1"/>
    <col min="6922" max="7168" width="9" style="394"/>
    <col min="7169" max="7169" width="7.42578125" style="394" bestFit="1" customWidth="1"/>
    <col min="7170" max="7170" width="37.42578125" style="394" customWidth="1"/>
    <col min="7171" max="7171" width="14.140625" style="394" customWidth="1"/>
    <col min="7172" max="7172" width="6.140625" style="394" customWidth="1"/>
    <col min="7173" max="7173" width="12.28515625" style="394" customWidth="1"/>
    <col min="7174" max="7174" width="15.42578125" style="394" customWidth="1"/>
    <col min="7175" max="7175" width="10.140625" style="394" customWidth="1"/>
    <col min="7176" max="7176" width="2" style="394" bestFit="1" customWidth="1"/>
    <col min="7177" max="7177" width="39.42578125" style="394" customWidth="1"/>
    <col min="7178" max="7424" width="9" style="394"/>
    <col min="7425" max="7425" width="7.42578125" style="394" bestFit="1" customWidth="1"/>
    <col min="7426" max="7426" width="37.42578125" style="394" customWidth="1"/>
    <col min="7427" max="7427" width="14.140625" style="394" customWidth="1"/>
    <col min="7428" max="7428" width="6.140625" style="394" customWidth="1"/>
    <col min="7429" max="7429" width="12.28515625" style="394" customWidth="1"/>
    <col min="7430" max="7430" width="15.42578125" style="394" customWidth="1"/>
    <col min="7431" max="7431" width="10.140625" style="394" customWidth="1"/>
    <col min="7432" max="7432" width="2" style="394" bestFit="1" customWidth="1"/>
    <col min="7433" max="7433" width="39.42578125" style="394" customWidth="1"/>
    <col min="7434" max="7680" width="9" style="394"/>
    <col min="7681" max="7681" width="7.42578125" style="394" bestFit="1" customWidth="1"/>
    <col min="7682" max="7682" width="37.42578125" style="394" customWidth="1"/>
    <col min="7683" max="7683" width="14.140625" style="394" customWidth="1"/>
    <col min="7684" max="7684" width="6.140625" style="394" customWidth="1"/>
    <col min="7685" max="7685" width="12.28515625" style="394" customWidth="1"/>
    <col min="7686" max="7686" width="15.42578125" style="394" customWidth="1"/>
    <col min="7687" max="7687" width="10.140625" style="394" customWidth="1"/>
    <col min="7688" max="7688" width="2" style="394" bestFit="1" customWidth="1"/>
    <col min="7689" max="7689" width="39.42578125" style="394" customWidth="1"/>
    <col min="7690" max="7936" width="9" style="394"/>
    <col min="7937" max="7937" width="7.42578125" style="394" bestFit="1" customWidth="1"/>
    <col min="7938" max="7938" width="37.42578125" style="394" customWidth="1"/>
    <col min="7939" max="7939" width="14.140625" style="394" customWidth="1"/>
    <col min="7940" max="7940" width="6.140625" style="394" customWidth="1"/>
    <col min="7941" max="7941" width="12.28515625" style="394" customWidth="1"/>
    <col min="7942" max="7942" width="15.42578125" style="394" customWidth="1"/>
    <col min="7943" max="7943" width="10.140625" style="394" customWidth="1"/>
    <col min="7944" max="7944" width="2" style="394" bestFit="1" customWidth="1"/>
    <col min="7945" max="7945" width="39.42578125" style="394" customWidth="1"/>
    <col min="7946" max="8192" width="9" style="394"/>
    <col min="8193" max="8193" width="7.42578125" style="394" bestFit="1" customWidth="1"/>
    <col min="8194" max="8194" width="37.42578125" style="394" customWidth="1"/>
    <col min="8195" max="8195" width="14.140625" style="394" customWidth="1"/>
    <col min="8196" max="8196" width="6.140625" style="394" customWidth="1"/>
    <col min="8197" max="8197" width="12.28515625" style="394" customWidth="1"/>
    <col min="8198" max="8198" width="15.42578125" style="394" customWidth="1"/>
    <col min="8199" max="8199" width="10.140625" style="394" customWidth="1"/>
    <col min="8200" max="8200" width="2" style="394" bestFit="1" customWidth="1"/>
    <col min="8201" max="8201" width="39.42578125" style="394" customWidth="1"/>
    <col min="8202" max="8448" width="9" style="394"/>
    <col min="8449" max="8449" width="7.42578125" style="394" bestFit="1" customWidth="1"/>
    <col min="8450" max="8450" width="37.42578125" style="394" customWidth="1"/>
    <col min="8451" max="8451" width="14.140625" style="394" customWidth="1"/>
    <col min="8452" max="8452" width="6.140625" style="394" customWidth="1"/>
    <col min="8453" max="8453" width="12.28515625" style="394" customWidth="1"/>
    <col min="8454" max="8454" width="15.42578125" style="394" customWidth="1"/>
    <col min="8455" max="8455" width="10.140625" style="394" customWidth="1"/>
    <col min="8456" max="8456" width="2" style="394" bestFit="1" customWidth="1"/>
    <col min="8457" max="8457" width="39.42578125" style="394" customWidth="1"/>
    <col min="8458" max="8704" width="9" style="394"/>
    <col min="8705" max="8705" width="7.42578125" style="394" bestFit="1" customWidth="1"/>
    <col min="8706" max="8706" width="37.42578125" style="394" customWidth="1"/>
    <col min="8707" max="8707" width="14.140625" style="394" customWidth="1"/>
    <col min="8708" max="8708" width="6.140625" style="394" customWidth="1"/>
    <col min="8709" max="8709" width="12.28515625" style="394" customWidth="1"/>
    <col min="8710" max="8710" width="15.42578125" style="394" customWidth="1"/>
    <col min="8711" max="8711" width="10.140625" style="394" customWidth="1"/>
    <col min="8712" max="8712" width="2" style="394" bestFit="1" customWidth="1"/>
    <col min="8713" max="8713" width="39.42578125" style="394" customWidth="1"/>
    <col min="8714" max="8960" width="9" style="394"/>
    <col min="8961" max="8961" width="7.42578125" style="394" bestFit="1" customWidth="1"/>
    <col min="8962" max="8962" width="37.42578125" style="394" customWidth="1"/>
    <col min="8963" max="8963" width="14.140625" style="394" customWidth="1"/>
    <col min="8964" max="8964" width="6.140625" style="394" customWidth="1"/>
    <col min="8965" max="8965" width="12.28515625" style="394" customWidth="1"/>
    <col min="8966" max="8966" width="15.42578125" style="394" customWidth="1"/>
    <col min="8967" max="8967" width="10.140625" style="394" customWidth="1"/>
    <col min="8968" max="8968" width="2" style="394" bestFit="1" customWidth="1"/>
    <col min="8969" max="8969" width="39.42578125" style="394" customWidth="1"/>
    <col min="8970" max="9216" width="9" style="394"/>
    <col min="9217" max="9217" width="7.42578125" style="394" bestFit="1" customWidth="1"/>
    <col min="9218" max="9218" width="37.42578125" style="394" customWidth="1"/>
    <col min="9219" max="9219" width="14.140625" style="394" customWidth="1"/>
    <col min="9220" max="9220" width="6.140625" style="394" customWidth="1"/>
    <col min="9221" max="9221" width="12.28515625" style="394" customWidth="1"/>
    <col min="9222" max="9222" width="15.42578125" style="394" customWidth="1"/>
    <col min="9223" max="9223" width="10.140625" style="394" customWidth="1"/>
    <col min="9224" max="9224" width="2" style="394" bestFit="1" customWidth="1"/>
    <col min="9225" max="9225" width="39.42578125" style="394" customWidth="1"/>
    <col min="9226" max="9472" width="9" style="394"/>
    <col min="9473" max="9473" width="7.42578125" style="394" bestFit="1" customWidth="1"/>
    <col min="9474" max="9474" width="37.42578125" style="394" customWidth="1"/>
    <col min="9475" max="9475" width="14.140625" style="394" customWidth="1"/>
    <col min="9476" max="9476" width="6.140625" style="394" customWidth="1"/>
    <col min="9477" max="9477" width="12.28515625" style="394" customWidth="1"/>
    <col min="9478" max="9478" width="15.42578125" style="394" customWidth="1"/>
    <col min="9479" max="9479" width="10.140625" style="394" customWidth="1"/>
    <col min="9480" max="9480" width="2" style="394" bestFit="1" customWidth="1"/>
    <col min="9481" max="9481" width="39.42578125" style="394" customWidth="1"/>
    <col min="9482" max="9728" width="9" style="394"/>
    <col min="9729" max="9729" width="7.42578125" style="394" bestFit="1" customWidth="1"/>
    <col min="9730" max="9730" width="37.42578125" style="394" customWidth="1"/>
    <col min="9731" max="9731" width="14.140625" style="394" customWidth="1"/>
    <col min="9732" max="9732" width="6.140625" style="394" customWidth="1"/>
    <col min="9733" max="9733" width="12.28515625" style="394" customWidth="1"/>
    <col min="9734" max="9734" width="15.42578125" style="394" customWidth="1"/>
    <col min="9735" max="9735" width="10.140625" style="394" customWidth="1"/>
    <col min="9736" max="9736" width="2" style="394" bestFit="1" customWidth="1"/>
    <col min="9737" max="9737" width="39.42578125" style="394" customWidth="1"/>
    <col min="9738" max="9984" width="9" style="394"/>
    <col min="9985" max="9985" width="7.42578125" style="394" bestFit="1" customWidth="1"/>
    <col min="9986" max="9986" width="37.42578125" style="394" customWidth="1"/>
    <col min="9987" max="9987" width="14.140625" style="394" customWidth="1"/>
    <col min="9988" max="9988" width="6.140625" style="394" customWidth="1"/>
    <col min="9989" max="9989" width="12.28515625" style="394" customWidth="1"/>
    <col min="9990" max="9990" width="15.42578125" style="394" customWidth="1"/>
    <col min="9991" max="9991" width="10.140625" style="394" customWidth="1"/>
    <col min="9992" max="9992" width="2" style="394" bestFit="1" customWidth="1"/>
    <col min="9993" max="9993" width="39.42578125" style="394" customWidth="1"/>
    <col min="9994" max="10240" width="9" style="394"/>
    <col min="10241" max="10241" width="7.42578125" style="394" bestFit="1" customWidth="1"/>
    <col min="10242" max="10242" width="37.42578125" style="394" customWidth="1"/>
    <col min="10243" max="10243" width="14.140625" style="394" customWidth="1"/>
    <col min="10244" max="10244" width="6.140625" style="394" customWidth="1"/>
    <col min="10245" max="10245" width="12.28515625" style="394" customWidth="1"/>
    <col min="10246" max="10246" width="15.42578125" style="394" customWidth="1"/>
    <col min="10247" max="10247" width="10.140625" style="394" customWidth="1"/>
    <col min="10248" max="10248" width="2" style="394" bestFit="1" customWidth="1"/>
    <col min="10249" max="10249" width="39.42578125" style="394" customWidth="1"/>
    <col min="10250" max="10496" width="9" style="394"/>
    <col min="10497" max="10497" width="7.42578125" style="394" bestFit="1" customWidth="1"/>
    <col min="10498" max="10498" width="37.42578125" style="394" customWidth="1"/>
    <col min="10499" max="10499" width="14.140625" style="394" customWidth="1"/>
    <col min="10500" max="10500" width="6.140625" style="394" customWidth="1"/>
    <col min="10501" max="10501" width="12.28515625" style="394" customWidth="1"/>
    <col min="10502" max="10502" width="15.42578125" style="394" customWidth="1"/>
    <col min="10503" max="10503" width="10.140625" style="394" customWidth="1"/>
    <col min="10504" max="10504" width="2" style="394" bestFit="1" customWidth="1"/>
    <col min="10505" max="10505" width="39.42578125" style="394" customWidth="1"/>
    <col min="10506" max="10752" width="9" style="394"/>
    <col min="10753" max="10753" width="7.42578125" style="394" bestFit="1" customWidth="1"/>
    <col min="10754" max="10754" width="37.42578125" style="394" customWidth="1"/>
    <col min="10755" max="10755" width="14.140625" style="394" customWidth="1"/>
    <col min="10756" max="10756" width="6.140625" style="394" customWidth="1"/>
    <col min="10757" max="10757" width="12.28515625" style="394" customWidth="1"/>
    <col min="10758" max="10758" width="15.42578125" style="394" customWidth="1"/>
    <col min="10759" max="10759" width="10.140625" style="394" customWidth="1"/>
    <col min="10760" max="10760" width="2" style="394" bestFit="1" customWidth="1"/>
    <col min="10761" max="10761" width="39.42578125" style="394" customWidth="1"/>
    <col min="10762" max="11008" width="9" style="394"/>
    <col min="11009" max="11009" width="7.42578125" style="394" bestFit="1" customWidth="1"/>
    <col min="11010" max="11010" width="37.42578125" style="394" customWidth="1"/>
    <col min="11011" max="11011" width="14.140625" style="394" customWidth="1"/>
    <col min="11012" max="11012" width="6.140625" style="394" customWidth="1"/>
    <col min="11013" max="11013" width="12.28515625" style="394" customWidth="1"/>
    <col min="11014" max="11014" width="15.42578125" style="394" customWidth="1"/>
    <col min="11015" max="11015" width="10.140625" style="394" customWidth="1"/>
    <col min="11016" max="11016" width="2" style="394" bestFit="1" customWidth="1"/>
    <col min="11017" max="11017" width="39.42578125" style="394" customWidth="1"/>
    <col min="11018" max="11264" width="9" style="394"/>
    <col min="11265" max="11265" width="7.42578125" style="394" bestFit="1" customWidth="1"/>
    <col min="11266" max="11266" width="37.42578125" style="394" customWidth="1"/>
    <col min="11267" max="11267" width="14.140625" style="394" customWidth="1"/>
    <col min="11268" max="11268" width="6.140625" style="394" customWidth="1"/>
    <col min="11269" max="11269" width="12.28515625" style="394" customWidth="1"/>
    <col min="11270" max="11270" width="15.42578125" style="394" customWidth="1"/>
    <col min="11271" max="11271" width="10.140625" style="394" customWidth="1"/>
    <col min="11272" max="11272" width="2" style="394" bestFit="1" customWidth="1"/>
    <col min="11273" max="11273" width="39.42578125" style="394" customWidth="1"/>
    <col min="11274" max="11520" width="9" style="394"/>
    <col min="11521" max="11521" width="7.42578125" style="394" bestFit="1" customWidth="1"/>
    <col min="11522" max="11522" width="37.42578125" style="394" customWidth="1"/>
    <col min="11523" max="11523" width="14.140625" style="394" customWidth="1"/>
    <col min="11524" max="11524" width="6.140625" style="394" customWidth="1"/>
    <col min="11525" max="11525" width="12.28515625" style="394" customWidth="1"/>
    <col min="11526" max="11526" width="15.42578125" style="394" customWidth="1"/>
    <col min="11527" max="11527" width="10.140625" style="394" customWidth="1"/>
    <col min="11528" max="11528" width="2" style="394" bestFit="1" customWidth="1"/>
    <col min="11529" max="11529" width="39.42578125" style="394" customWidth="1"/>
    <col min="11530" max="11776" width="9" style="394"/>
    <col min="11777" max="11777" width="7.42578125" style="394" bestFit="1" customWidth="1"/>
    <col min="11778" max="11778" width="37.42578125" style="394" customWidth="1"/>
    <col min="11779" max="11779" width="14.140625" style="394" customWidth="1"/>
    <col min="11780" max="11780" width="6.140625" style="394" customWidth="1"/>
    <col min="11781" max="11781" width="12.28515625" style="394" customWidth="1"/>
    <col min="11782" max="11782" width="15.42578125" style="394" customWidth="1"/>
    <col min="11783" max="11783" width="10.140625" style="394" customWidth="1"/>
    <col min="11784" max="11784" width="2" style="394" bestFit="1" customWidth="1"/>
    <col min="11785" max="11785" width="39.42578125" style="394" customWidth="1"/>
    <col min="11786" max="12032" width="9" style="394"/>
    <col min="12033" max="12033" width="7.42578125" style="394" bestFit="1" customWidth="1"/>
    <col min="12034" max="12034" width="37.42578125" style="394" customWidth="1"/>
    <col min="12035" max="12035" width="14.140625" style="394" customWidth="1"/>
    <col min="12036" max="12036" width="6.140625" style="394" customWidth="1"/>
    <col min="12037" max="12037" width="12.28515625" style="394" customWidth="1"/>
    <col min="12038" max="12038" width="15.42578125" style="394" customWidth="1"/>
    <col min="12039" max="12039" width="10.140625" style="394" customWidth="1"/>
    <col min="12040" max="12040" width="2" style="394" bestFit="1" customWidth="1"/>
    <col min="12041" max="12041" width="39.42578125" style="394" customWidth="1"/>
    <col min="12042" max="12288" width="9" style="394"/>
    <col min="12289" max="12289" width="7.42578125" style="394" bestFit="1" customWidth="1"/>
    <col min="12290" max="12290" width="37.42578125" style="394" customWidth="1"/>
    <col min="12291" max="12291" width="14.140625" style="394" customWidth="1"/>
    <col min="12292" max="12292" width="6.140625" style="394" customWidth="1"/>
    <col min="12293" max="12293" width="12.28515625" style="394" customWidth="1"/>
    <col min="12294" max="12294" width="15.42578125" style="394" customWidth="1"/>
    <col min="12295" max="12295" width="10.140625" style="394" customWidth="1"/>
    <col min="12296" max="12296" width="2" style="394" bestFit="1" customWidth="1"/>
    <col min="12297" max="12297" width="39.42578125" style="394" customWidth="1"/>
    <col min="12298" max="12544" width="9" style="394"/>
    <col min="12545" max="12545" width="7.42578125" style="394" bestFit="1" customWidth="1"/>
    <col min="12546" max="12546" width="37.42578125" style="394" customWidth="1"/>
    <col min="12547" max="12547" width="14.140625" style="394" customWidth="1"/>
    <col min="12548" max="12548" width="6.140625" style="394" customWidth="1"/>
    <col min="12549" max="12549" width="12.28515625" style="394" customWidth="1"/>
    <col min="12550" max="12550" width="15.42578125" style="394" customWidth="1"/>
    <col min="12551" max="12551" width="10.140625" style="394" customWidth="1"/>
    <col min="12552" max="12552" width="2" style="394" bestFit="1" customWidth="1"/>
    <col min="12553" max="12553" width="39.42578125" style="394" customWidth="1"/>
    <col min="12554" max="12800" width="9" style="394"/>
    <col min="12801" max="12801" width="7.42578125" style="394" bestFit="1" customWidth="1"/>
    <col min="12802" max="12802" width="37.42578125" style="394" customWidth="1"/>
    <col min="12803" max="12803" width="14.140625" style="394" customWidth="1"/>
    <col min="12804" max="12804" width="6.140625" style="394" customWidth="1"/>
    <col min="12805" max="12805" width="12.28515625" style="394" customWidth="1"/>
    <col min="12806" max="12806" width="15.42578125" style="394" customWidth="1"/>
    <col min="12807" max="12807" width="10.140625" style="394" customWidth="1"/>
    <col min="12808" max="12808" width="2" style="394" bestFit="1" customWidth="1"/>
    <col min="12809" max="12809" width="39.42578125" style="394" customWidth="1"/>
    <col min="12810" max="13056" width="9" style="394"/>
    <col min="13057" max="13057" width="7.42578125" style="394" bestFit="1" customWidth="1"/>
    <col min="13058" max="13058" width="37.42578125" style="394" customWidth="1"/>
    <col min="13059" max="13059" width="14.140625" style="394" customWidth="1"/>
    <col min="13060" max="13060" width="6.140625" style="394" customWidth="1"/>
    <col min="13061" max="13061" width="12.28515625" style="394" customWidth="1"/>
    <col min="13062" max="13062" width="15.42578125" style="394" customWidth="1"/>
    <col min="13063" max="13063" width="10.140625" style="394" customWidth="1"/>
    <col min="13064" max="13064" width="2" style="394" bestFit="1" customWidth="1"/>
    <col min="13065" max="13065" width="39.42578125" style="394" customWidth="1"/>
    <col min="13066" max="13312" width="9" style="394"/>
    <col min="13313" max="13313" width="7.42578125" style="394" bestFit="1" customWidth="1"/>
    <col min="13314" max="13314" width="37.42578125" style="394" customWidth="1"/>
    <col min="13315" max="13315" width="14.140625" style="394" customWidth="1"/>
    <col min="13316" max="13316" width="6.140625" style="394" customWidth="1"/>
    <col min="13317" max="13317" width="12.28515625" style="394" customWidth="1"/>
    <col min="13318" max="13318" width="15.42578125" style="394" customWidth="1"/>
    <col min="13319" max="13319" width="10.140625" style="394" customWidth="1"/>
    <col min="13320" max="13320" width="2" style="394" bestFit="1" customWidth="1"/>
    <col min="13321" max="13321" width="39.42578125" style="394" customWidth="1"/>
    <col min="13322" max="13568" width="9" style="394"/>
    <col min="13569" max="13569" width="7.42578125" style="394" bestFit="1" customWidth="1"/>
    <col min="13570" max="13570" width="37.42578125" style="394" customWidth="1"/>
    <col min="13571" max="13571" width="14.140625" style="394" customWidth="1"/>
    <col min="13572" max="13572" width="6.140625" style="394" customWidth="1"/>
    <col min="13573" max="13573" width="12.28515625" style="394" customWidth="1"/>
    <col min="13574" max="13574" width="15.42578125" style="394" customWidth="1"/>
    <col min="13575" max="13575" width="10.140625" style="394" customWidth="1"/>
    <col min="13576" max="13576" width="2" style="394" bestFit="1" customWidth="1"/>
    <col min="13577" max="13577" width="39.42578125" style="394" customWidth="1"/>
    <col min="13578" max="13824" width="9" style="394"/>
    <col min="13825" max="13825" width="7.42578125" style="394" bestFit="1" customWidth="1"/>
    <col min="13826" max="13826" width="37.42578125" style="394" customWidth="1"/>
    <col min="13827" max="13827" width="14.140625" style="394" customWidth="1"/>
    <col min="13828" max="13828" width="6.140625" style="394" customWidth="1"/>
    <col min="13829" max="13829" width="12.28515625" style="394" customWidth="1"/>
    <col min="13830" max="13830" width="15.42578125" style="394" customWidth="1"/>
    <col min="13831" max="13831" width="10.140625" style="394" customWidth="1"/>
    <col min="13832" max="13832" width="2" style="394" bestFit="1" customWidth="1"/>
    <col min="13833" max="13833" width="39.42578125" style="394" customWidth="1"/>
    <col min="13834" max="14080" width="9" style="394"/>
    <col min="14081" max="14081" width="7.42578125" style="394" bestFit="1" customWidth="1"/>
    <col min="14082" max="14082" width="37.42578125" style="394" customWidth="1"/>
    <col min="14083" max="14083" width="14.140625" style="394" customWidth="1"/>
    <col min="14084" max="14084" width="6.140625" style="394" customWidth="1"/>
    <col min="14085" max="14085" width="12.28515625" style="394" customWidth="1"/>
    <col min="14086" max="14086" width="15.42578125" style="394" customWidth="1"/>
    <col min="14087" max="14087" width="10.140625" style="394" customWidth="1"/>
    <col min="14088" max="14088" width="2" style="394" bestFit="1" customWidth="1"/>
    <col min="14089" max="14089" width="39.42578125" style="394" customWidth="1"/>
    <col min="14090" max="14336" width="9" style="394"/>
    <col min="14337" max="14337" width="7.42578125" style="394" bestFit="1" customWidth="1"/>
    <col min="14338" max="14338" width="37.42578125" style="394" customWidth="1"/>
    <col min="14339" max="14339" width="14.140625" style="394" customWidth="1"/>
    <col min="14340" max="14340" width="6.140625" style="394" customWidth="1"/>
    <col min="14341" max="14341" width="12.28515625" style="394" customWidth="1"/>
    <col min="14342" max="14342" width="15.42578125" style="394" customWidth="1"/>
    <col min="14343" max="14343" width="10.140625" style="394" customWidth="1"/>
    <col min="14344" max="14344" width="2" style="394" bestFit="1" customWidth="1"/>
    <col min="14345" max="14345" width="39.42578125" style="394" customWidth="1"/>
    <col min="14346" max="14592" width="9" style="394"/>
    <col min="14593" max="14593" width="7.42578125" style="394" bestFit="1" customWidth="1"/>
    <col min="14594" max="14594" width="37.42578125" style="394" customWidth="1"/>
    <col min="14595" max="14595" width="14.140625" style="394" customWidth="1"/>
    <col min="14596" max="14596" width="6.140625" style="394" customWidth="1"/>
    <col min="14597" max="14597" width="12.28515625" style="394" customWidth="1"/>
    <col min="14598" max="14598" width="15.42578125" style="394" customWidth="1"/>
    <col min="14599" max="14599" width="10.140625" style="394" customWidth="1"/>
    <col min="14600" max="14600" width="2" style="394" bestFit="1" customWidth="1"/>
    <col min="14601" max="14601" width="39.42578125" style="394" customWidth="1"/>
    <col min="14602" max="14848" width="9" style="394"/>
    <col min="14849" max="14849" width="7.42578125" style="394" bestFit="1" customWidth="1"/>
    <col min="14850" max="14850" width="37.42578125" style="394" customWidth="1"/>
    <col min="14851" max="14851" width="14.140625" style="394" customWidth="1"/>
    <col min="14852" max="14852" width="6.140625" style="394" customWidth="1"/>
    <col min="14853" max="14853" width="12.28515625" style="394" customWidth="1"/>
    <col min="14854" max="14854" width="15.42578125" style="394" customWidth="1"/>
    <col min="14855" max="14855" width="10.140625" style="394" customWidth="1"/>
    <col min="14856" max="14856" width="2" style="394" bestFit="1" customWidth="1"/>
    <col min="14857" max="14857" width="39.42578125" style="394" customWidth="1"/>
    <col min="14858" max="15104" width="9" style="394"/>
    <col min="15105" max="15105" width="7.42578125" style="394" bestFit="1" customWidth="1"/>
    <col min="15106" max="15106" width="37.42578125" style="394" customWidth="1"/>
    <col min="15107" max="15107" width="14.140625" style="394" customWidth="1"/>
    <col min="15108" max="15108" width="6.140625" style="394" customWidth="1"/>
    <col min="15109" max="15109" width="12.28515625" style="394" customWidth="1"/>
    <col min="15110" max="15110" width="15.42578125" style="394" customWidth="1"/>
    <col min="15111" max="15111" width="10.140625" style="394" customWidth="1"/>
    <col min="15112" max="15112" width="2" style="394" bestFit="1" customWidth="1"/>
    <col min="15113" max="15113" width="39.42578125" style="394" customWidth="1"/>
    <col min="15114" max="15360" width="9" style="394"/>
    <col min="15361" max="15361" width="7.42578125" style="394" bestFit="1" customWidth="1"/>
    <col min="15362" max="15362" width="37.42578125" style="394" customWidth="1"/>
    <col min="15363" max="15363" width="14.140625" style="394" customWidth="1"/>
    <col min="15364" max="15364" width="6.140625" style="394" customWidth="1"/>
    <col min="15365" max="15365" width="12.28515625" style="394" customWidth="1"/>
    <col min="15366" max="15366" width="15.42578125" style="394" customWidth="1"/>
    <col min="15367" max="15367" width="10.140625" style="394" customWidth="1"/>
    <col min="15368" max="15368" width="2" style="394" bestFit="1" customWidth="1"/>
    <col min="15369" max="15369" width="39.42578125" style="394" customWidth="1"/>
    <col min="15370" max="15616" width="9" style="394"/>
    <col min="15617" max="15617" width="7.42578125" style="394" bestFit="1" customWidth="1"/>
    <col min="15618" max="15618" width="37.42578125" style="394" customWidth="1"/>
    <col min="15619" max="15619" width="14.140625" style="394" customWidth="1"/>
    <col min="15620" max="15620" width="6.140625" style="394" customWidth="1"/>
    <col min="15621" max="15621" width="12.28515625" style="394" customWidth="1"/>
    <col min="15622" max="15622" width="15.42578125" style="394" customWidth="1"/>
    <col min="15623" max="15623" width="10.140625" style="394" customWidth="1"/>
    <col min="15624" max="15624" width="2" style="394" bestFit="1" customWidth="1"/>
    <col min="15625" max="15625" width="39.42578125" style="394" customWidth="1"/>
    <col min="15626" max="15872" width="9" style="394"/>
    <col min="15873" max="15873" width="7.42578125" style="394" bestFit="1" customWidth="1"/>
    <col min="15874" max="15874" width="37.42578125" style="394" customWidth="1"/>
    <col min="15875" max="15875" width="14.140625" style="394" customWidth="1"/>
    <col min="15876" max="15876" width="6.140625" style="394" customWidth="1"/>
    <col min="15877" max="15877" width="12.28515625" style="394" customWidth="1"/>
    <col min="15878" max="15878" width="15.42578125" style="394" customWidth="1"/>
    <col min="15879" max="15879" width="10.140625" style="394" customWidth="1"/>
    <col min="15880" max="15880" width="2" style="394" bestFit="1" customWidth="1"/>
    <col min="15881" max="15881" width="39.42578125" style="394" customWidth="1"/>
    <col min="15882" max="16128" width="9" style="394"/>
    <col min="16129" max="16129" width="7.42578125" style="394" bestFit="1" customWidth="1"/>
    <col min="16130" max="16130" width="37.42578125" style="394" customWidth="1"/>
    <col min="16131" max="16131" width="14.140625" style="394" customWidth="1"/>
    <col min="16132" max="16132" width="6.140625" style="394" customWidth="1"/>
    <col min="16133" max="16133" width="12.28515625" style="394" customWidth="1"/>
    <col min="16134" max="16134" width="15.42578125" style="394" customWidth="1"/>
    <col min="16135" max="16135" width="10.140625" style="394" customWidth="1"/>
    <col min="16136" max="16136" width="2" style="394" bestFit="1" customWidth="1"/>
    <col min="16137" max="16137" width="39.42578125" style="394" customWidth="1"/>
    <col min="16138" max="16384" width="9" style="394"/>
  </cols>
  <sheetData>
    <row r="1" spans="1:8" s="342" customFormat="1" ht="25.5">
      <c r="A1" s="337"/>
      <c r="B1" s="338" t="s">
        <v>241</v>
      </c>
      <c r="C1" s="463" t="s">
        <v>242</v>
      </c>
      <c r="D1" s="340" t="s">
        <v>243</v>
      </c>
      <c r="E1" s="339" t="s">
        <v>244</v>
      </c>
      <c r="F1" s="341" t="s">
        <v>245</v>
      </c>
    </row>
    <row r="2" spans="1:8" s="346" customFormat="1">
      <c r="A2" s="343"/>
      <c r="B2" s="344"/>
      <c r="C2" s="454"/>
      <c r="E2" s="345"/>
      <c r="F2" s="347"/>
    </row>
    <row r="3" spans="1:8" s="350" customFormat="1">
      <c r="A3" s="348" t="s">
        <v>179</v>
      </c>
      <c r="B3" s="349" t="s">
        <v>178</v>
      </c>
      <c r="C3" s="464"/>
      <c r="F3" s="351"/>
    </row>
    <row r="4" spans="1:8" s="352" customFormat="1">
      <c r="A4" s="343"/>
      <c r="B4" s="349"/>
      <c r="C4" s="465"/>
      <c r="F4" s="353"/>
    </row>
    <row r="5" spans="1:8" s="352" customFormat="1">
      <c r="A5" s="354" t="s">
        <v>246</v>
      </c>
      <c r="B5" s="355" t="s">
        <v>247</v>
      </c>
      <c r="C5" s="465"/>
      <c r="F5" s="353"/>
    </row>
    <row r="6" spans="1:8" s="346" customFormat="1">
      <c r="A6" s="343"/>
      <c r="B6" s="344"/>
      <c r="C6" s="466"/>
      <c r="F6" s="347"/>
    </row>
    <row r="7" spans="1:8" s="346" customFormat="1" ht="25.5">
      <c r="A7" s="343" t="s">
        <v>248</v>
      </c>
      <c r="B7" s="344" t="s">
        <v>249</v>
      </c>
      <c r="C7" s="466"/>
      <c r="F7" s="347"/>
    </row>
    <row r="8" spans="1:8" s="346" customFormat="1">
      <c r="A8" s="343"/>
      <c r="B8" s="344"/>
      <c r="C8" s="454">
        <f>K84+K86</f>
        <v>203.14</v>
      </c>
      <c r="D8" s="346" t="s">
        <v>115</v>
      </c>
      <c r="E8" s="356"/>
      <c r="F8" s="357">
        <f>C8*E8</f>
        <v>0</v>
      </c>
      <c r="G8" s="345"/>
      <c r="H8" s="345"/>
    </row>
    <row r="9" spans="1:8" s="346" customFormat="1">
      <c r="A9" s="343"/>
      <c r="B9" s="344"/>
      <c r="C9" s="456"/>
      <c r="E9" s="356"/>
      <c r="F9" s="357"/>
      <c r="G9" s="345"/>
      <c r="H9" s="345"/>
    </row>
    <row r="10" spans="1:8" s="352" customFormat="1">
      <c r="A10" s="354" t="s">
        <v>246</v>
      </c>
      <c r="B10" s="355" t="s">
        <v>250</v>
      </c>
      <c r="C10" s="455"/>
      <c r="E10" s="360"/>
      <c r="F10" s="361">
        <f>SUM(F7:F9)</f>
        <v>0</v>
      </c>
      <c r="G10" s="345"/>
    </row>
    <row r="11" spans="1:8" s="352" customFormat="1">
      <c r="A11" s="354"/>
      <c r="B11" s="355"/>
      <c r="C11" s="455"/>
      <c r="E11" s="360"/>
      <c r="F11" s="361"/>
      <c r="G11" s="345"/>
    </row>
    <row r="12" spans="1:8" s="352" customFormat="1" ht="25.5">
      <c r="A12" s="354" t="s">
        <v>251</v>
      </c>
      <c r="B12" s="355" t="s">
        <v>814</v>
      </c>
      <c r="C12" s="455"/>
      <c r="E12" s="360"/>
      <c r="F12" s="361"/>
      <c r="G12" s="345"/>
    </row>
    <row r="13" spans="1:8" s="346" customFormat="1">
      <c r="A13" s="364"/>
      <c r="B13" s="344"/>
      <c r="C13" s="454"/>
      <c r="E13" s="356"/>
      <c r="F13" s="357"/>
      <c r="G13" s="345"/>
      <c r="H13" s="345"/>
    </row>
    <row r="14" spans="1:8" s="346" customFormat="1" ht="38.25">
      <c r="A14" s="364" t="s">
        <v>253</v>
      </c>
      <c r="B14" s="344" t="s">
        <v>254</v>
      </c>
      <c r="C14" s="454"/>
      <c r="E14" s="356"/>
      <c r="F14" s="357"/>
      <c r="G14" s="345"/>
      <c r="H14" s="345"/>
    </row>
    <row r="15" spans="1:8" s="346" customFormat="1">
      <c r="A15" s="364"/>
      <c r="B15" s="344"/>
      <c r="C15" s="454">
        <f>ROUND(C8/20,0)</f>
        <v>10</v>
      </c>
      <c r="D15" s="346" t="s">
        <v>5</v>
      </c>
      <c r="E15" s="356"/>
      <c r="F15" s="357">
        <f>C15*E15</f>
        <v>0</v>
      </c>
      <c r="G15" s="345"/>
      <c r="H15" s="345"/>
    </row>
    <row r="16" spans="1:8" s="346" customFormat="1">
      <c r="A16" s="364"/>
      <c r="B16" s="344"/>
      <c r="C16" s="454"/>
      <c r="E16" s="356"/>
      <c r="F16" s="357"/>
      <c r="G16" s="345"/>
      <c r="H16" s="345"/>
    </row>
    <row r="17" spans="1:256" s="352" customFormat="1">
      <c r="A17" s="354" t="s">
        <v>251</v>
      </c>
      <c r="B17" s="355" t="s">
        <v>256</v>
      </c>
      <c r="C17" s="455"/>
      <c r="E17" s="360"/>
      <c r="F17" s="361">
        <f>SUM(F13:F16)</f>
        <v>0</v>
      </c>
      <c r="G17" s="345"/>
    </row>
    <row r="18" spans="1:256" s="374" customFormat="1">
      <c r="A18" s="367"/>
      <c r="B18" s="368"/>
      <c r="C18" s="467"/>
      <c r="D18" s="370"/>
      <c r="E18" s="371"/>
      <c r="F18" s="372"/>
      <c r="G18" s="345"/>
      <c r="H18" s="373"/>
    </row>
    <row r="19" spans="1:256" s="350" customFormat="1">
      <c r="A19" s="348" t="s">
        <v>179</v>
      </c>
      <c r="B19" s="349" t="s">
        <v>257</v>
      </c>
      <c r="C19" s="468"/>
      <c r="E19" s="376"/>
      <c r="F19" s="377">
        <f>F10+F17</f>
        <v>0</v>
      </c>
      <c r="G19" s="345"/>
    </row>
    <row r="20" spans="1:256" s="346" customFormat="1">
      <c r="A20" s="343"/>
      <c r="B20" s="378"/>
      <c r="C20" s="456"/>
      <c r="D20" s="379"/>
      <c r="E20" s="356"/>
      <c r="F20" s="380"/>
      <c r="G20" s="345"/>
      <c r="H20" s="345"/>
    </row>
    <row r="21" spans="1:256" s="350" customFormat="1">
      <c r="A21" s="348" t="s">
        <v>177</v>
      </c>
      <c r="B21" s="349" t="s">
        <v>176</v>
      </c>
      <c r="C21" s="468"/>
      <c r="E21" s="376"/>
      <c r="F21" s="377"/>
      <c r="G21" s="381"/>
    </row>
    <row r="22" spans="1:256" s="389" customFormat="1" ht="11.25">
      <c r="A22" s="382"/>
      <c r="B22" s="383"/>
      <c r="C22" s="469"/>
      <c r="D22" s="385"/>
      <c r="E22" s="386"/>
      <c r="F22" s="387"/>
      <c r="G22" s="381"/>
      <c r="H22" s="388"/>
    </row>
    <row r="23" spans="1:256" s="390" customFormat="1">
      <c r="A23" s="354" t="s">
        <v>258</v>
      </c>
      <c r="B23" s="355" t="s">
        <v>470</v>
      </c>
      <c r="C23" s="455"/>
      <c r="D23" s="352"/>
      <c r="E23" s="360"/>
      <c r="F23" s="361"/>
      <c r="G23" s="381"/>
      <c r="IV23" s="391"/>
    </row>
    <row r="24" spans="1:256" s="390" customFormat="1">
      <c r="A24" s="354"/>
      <c r="B24" s="355"/>
      <c r="C24" s="455"/>
      <c r="D24" s="352"/>
      <c r="E24" s="360"/>
      <c r="F24" s="361"/>
      <c r="G24" s="381"/>
      <c r="J24" s="390" t="s">
        <v>221</v>
      </c>
      <c r="K24" s="390" t="s">
        <v>222</v>
      </c>
      <c r="L24" s="390" t="s">
        <v>223</v>
      </c>
      <c r="M24" s="390" t="s">
        <v>224</v>
      </c>
      <c r="N24" s="390" t="s">
        <v>225</v>
      </c>
      <c r="O24" s="390" t="s">
        <v>226</v>
      </c>
      <c r="P24" s="390" t="s">
        <v>227</v>
      </c>
      <c r="Q24" s="390" t="s">
        <v>228</v>
      </c>
      <c r="R24" s="390" t="s">
        <v>229</v>
      </c>
      <c r="S24" s="390" t="s">
        <v>230</v>
      </c>
      <c r="T24" s="390" t="s">
        <v>231</v>
      </c>
      <c r="U24" s="390" t="s">
        <v>232</v>
      </c>
      <c r="V24" s="390" t="s">
        <v>233</v>
      </c>
      <c r="W24" s="390" t="s">
        <v>234</v>
      </c>
      <c r="X24" s="390" t="s">
        <v>235</v>
      </c>
      <c r="Y24" s="390" t="s">
        <v>236</v>
      </c>
      <c r="Z24" s="390" t="s">
        <v>237</v>
      </c>
      <c r="IV24" s="391"/>
    </row>
    <row r="25" spans="1:256" s="390" customFormat="1" ht="38.25">
      <c r="A25" s="392"/>
      <c r="B25" s="393" t="s">
        <v>260</v>
      </c>
      <c r="C25" s="456"/>
      <c r="D25" s="346"/>
      <c r="E25" s="356"/>
      <c r="F25" s="357"/>
      <c r="G25" s="381"/>
      <c r="J25" s="390" t="s">
        <v>314</v>
      </c>
      <c r="K25" s="430"/>
      <c r="L25" s="430">
        <v>0</v>
      </c>
      <c r="M25" s="430">
        <v>0</v>
      </c>
      <c r="N25" s="430">
        <v>0</v>
      </c>
      <c r="O25" s="430">
        <v>260.8</v>
      </c>
      <c r="P25" s="430">
        <v>244.78</v>
      </c>
      <c r="Q25" s="430">
        <v>16.02</v>
      </c>
      <c r="R25" s="430">
        <v>0</v>
      </c>
      <c r="S25" s="430">
        <v>0</v>
      </c>
      <c r="T25" s="430">
        <v>0</v>
      </c>
      <c r="U25" s="430">
        <v>260.14999999999998</v>
      </c>
      <c r="V25" s="430">
        <v>220.73</v>
      </c>
      <c r="W25" s="430">
        <v>0</v>
      </c>
      <c r="X25" s="430">
        <v>31.94</v>
      </c>
      <c r="Y25" s="430">
        <v>7.48</v>
      </c>
      <c r="Z25" s="430">
        <v>220.73</v>
      </c>
      <c r="IV25" s="391"/>
    </row>
    <row r="26" spans="1:256" s="390" customFormat="1">
      <c r="A26" s="364"/>
      <c r="B26" s="393" t="s">
        <v>261</v>
      </c>
      <c r="C26" s="454">
        <f>C8</f>
        <v>203.14</v>
      </c>
      <c r="D26" s="346"/>
      <c r="E26" s="356"/>
      <c r="F26" s="357"/>
      <c r="G26" s="381"/>
      <c r="J26" s="390" t="s">
        <v>305</v>
      </c>
      <c r="K26" s="430"/>
      <c r="L26" s="430">
        <v>0</v>
      </c>
      <c r="M26" s="430">
        <v>0</v>
      </c>
      <c r="N26" s="430">
        <v>0</v>
      </c>
      <c r="O26" s="430">
        <v>235.53</v>
      </c>
      <c r="P26" s="430">
        <v>219.5</v>
      </c>
      <c r="Q26" s="430">
        <v>16.02</v>
      </c>
      <c r="R26" s="430">
        <v>0</v>
      </c>
      <c r="S26" s="430">
        <v>0</v>
      </c>
      <c r="T26" s="430">
        <v>0</v>
      </c>
      <c r="U26" s="430">
        <v>234.89</v>
      </c>
      <c r="V26" s="430">
        <v>202.54</v>
      </c>
      <c r="W26" s="430">
        <v>0</v>
      </c>
      <c r="X26" s="430">
        <v>26.25</v>
      </c>
      <c r="Y26" s="430">
        <v>6.1</v>
      </c>
      <c r="Z26" s="430">
        <v>202.54</v>
      </c>
      <c r="IV26" s="391"/>
    </row>
    <row r="27" spans="1:256" s="390" customFormat="1">
      <c r="A27" s="364" t="s">
        <v>262</v>
      </c>
      <c r="B27" s="393" t="s">
        <v>263</v>
      </c>
      <c r="C27" s="454">
        <f>C26*0.8</f>
        <v>162.512</v>
      </c>
      <c r="D27" s="394" t="s">
        <v>108</v>
      </c>
      <c r="E27" s="356"/>
      <c r="F27" s="357">
        <f>C27*E27</f>
        <v>0</v>
      </c>
      <c r="G27" s="381"/>
      <c r="J27" s="390" t="s">
        <v>307</v>
      </c>
      <c r="K27" s="430"/>
      <c r="L27" s="430">
        <v>0</v>
      </c>
      <c r="M27" s="430">
        <v>0</v>
      </c>
      <c r="N27" s="430">
        <v>0</v>
      </c>
      <c r="O27" s="430">
        <v>0</v>
      </c>
      <c r="P27" s="430">
        <v>0</v>
      </c>
      <c r="Q27" s="430">
        <v>0</v>
      </c>
      <c r="R27" s="430">
        <v>0</v>
      </c>
      <c r="S27" s="430">
        <v>0</v>
      </c>
      <c r="T27" s="430">
        <v>0</v>
      </c>
      <c r="U27" s="430">
        <v>0</v>
      </c>
      <c r="V27" s="430">
        <v>0</v>
      </c>
      <c r="W27" s="430">
        <v>0</v>
      </c>
      <c r="X27" s="430">
        <v>0</v>
      </c>
      <c r="Y27" s="430">
        <v>0</v>
      </c>
      <c r="Z27" s="430">
        <v>0</v>
      </c>
      <c r="IV27" s="391"/>
    </row>
    <row r="28" spans="1:256" s="390" customFormat="1">
      <c r="A28" s="364" t="s">
        <v>264</v>
      </c>
      <c r="B28" s="393" t="s">
        <v>265</v>
      </c>
      <c r="C28" s="454">
        <f>C26*0.2</f>
        <v>40.628</v>
      </c>
      <c r="D28" s="394" t="s">
        <v>108</v>
      </c>
      <c r="E28" s="356"/>
      <c r="F28" s="357">
        <f>C28*E28</f>
        <v>0</v>
      </c>
      <c r="G28" s="381"/>
      <c r="J28" s="390" t="s">
        <v>309</v>
      </c>
      <c r="K28" s="430"/>
      <c r="L28" s="430">
        <v>0</v>
      </c>
      <c r="M28" s="430">
        <v>0</v>
      </c>
      <c r="N28" s="430">
        <v>0</v>
      </c>
      <c r="O28" s="430">
        <v>6.84</v>
      </c>
      <c r="P28" s="430">
        <v>6.84</v>
      </c>
      <c r="Q28" s="430">
        <v>0</v>
      </c>
      <c r="R28" s="430">
        <v>0</v>
      </c>
      <c r="S28" s="430">
        <v>0</v>
      </c>
      <c r="T28" s="430">
        <v>0</v>
      </c>
      <c r="U28" s="430">
        <v>6.83</v>
      </c>
      <c r="V28" s="430">
        <v>4.8899999999999997</v>
      </c>
      <c r="W28" s="430">
        <v>0</v>
      </c>
      <c r="X28" s="430">
        <v>1.57</v>
      </c>
      <c r="Y28" s="430">
        <v>0.38</v>
      </c>
      <c r="Z28" s="430">
        <v>4.8899999999999997</v>
      </c>
      <c r="IV28" s="391"/>
    </row>
    <row r="29" spans="1:256" s="390" customFormat="1">
      <c r="A29" s="364"/>
      <c r="B29" s="393"/>
      <c r="C29" s="454"/>
      <c r="D29" s="394"/>
      <c r="E29" s="356"/>
      <c r="F29" s="357"/>
      <c r="G29" s="381"/>
      <c r="J29" s="390" t="s">
        <v>310</v>
      </c>
      <c r="K29" s="430"/>
      <c r="L29" s="430">
        <v>0</v>
      </c>
      <c r="M29" s="430">
        <v>0</v>
      </c>
      <c r="N29" s="430">
        <v>0</v>
      </c>
      <c r="O29" s="430">
        <v>4.7</v>
      </c>
      <c r="P29" s="430">
        <v>4.7</v>
      </c>
      <c r="Q29" s="430">
        <v>0</v>
      </c>
      <c r="R29" s="430">
        <v>0</v>
      </c>
      <c r="S29" s="430">
        <v>0</v>
      </c>
      <c r="T29" s="430">
        <v>0</v>
      </c>
      <c r="U29" s="430">
        <v>4.7</v>
      </c>
      <c r="V29" s="430">
        <v>2.95</v>
      </c>
      <c r="W29" s="430">
        <v>0</v>
      </c>
      <c r="X29" s="430">
        <v>1.4</v>
      </c>
      <c r="Y29" s="430">
        <v>0.34</v>
      </c>
      <c r="Z29" s="430">
        <v>2.95</v>
      </c>
      <c r="IV29" s="391"/>
    </row>
    <row r="30" spans="1:256" s="390" customFormat="1">
      <c r="A30" s="364"/>
      <c r="B30" s="393"/>
      <c r="C30" s="454"/>
      <c r="D30" s="394"/>
      <c r="E30" s="356"/>
      <c r="F30" s="357"/>
      <c r="G30" s="381"/>
      <c r="J30" s="390" t="s">
        <v>311</v>
      </c>
      <c r="K30" s="430"/>
      <c r="L30" s="430">
        <v>0</v>
      </c>
      <c r="M30" s="430">
        <v>0</v>
      </c>
      <c r="N30" s="430">
        <v>0</v>
      </c>
      <c r="O30" s="430">
        <v>7.62</v>
      </c>
      <c r="P30" s="430">
        <v>7.62</v>
      </c>
      <c r="Q30" s="430">
        <v>0</v>
      </c>
      <c r="R30" s="430">
        <v>0</v>
      </c>
      <c r="S30" s="430">
        <v>0</v>
      </c>
      <c r="T30" s="430">
        <v>0</v>
      </c>
      <c r="U30" s="430">
        <v>7.62</v>
      </c>
      <c r="V30" s="430">
        <v>5.66</v>
      </c>
      <c r="W30" s="430">
        <v>0</v>
      </c>
      <c r="X30" s="430">
        <v>1.58</v>
      </c>
      <c r="Y30" s="430">
        <v>0.38</v>
      </c>
      <c r="Z30" s="430">
        <v>5.66</v>
      </c>
      <c r="IV30" s="391"/>
    </row>
    <row r="31" spans="1:256" s="390" customFormat="1">
      <c r="A31" s="392"/>
      <c r="B31" s="393"/>
      <c r="C31" s="456"/>
      <c r="D31" s="346"/>
      <c r="E31" s="356"/>
      <c r="F31" s="357"/>
      <c r="G31" s="381"/>
      <c r="J31" s="390" t="s">
        <v>312</v>
      </c>
      <c r="K31" s="430"/>
      <c r="L31" s="430">
        <v>0</v>
      </c>
      <c r="M31" s="430">
        <v>0</v>
      </c>
      <c r="N31" s="430">
        <v>0</v>
      </c>
      <c r="O31" s="430">
        <v>6.12</v>
      </c>
      <c r="P31" s="430">
        <v>6.12</v>
      </c>
      <c r="Q31" s="430">
        <v>0</v>
      </c>
      <c r="R31" s="430">
        <v>0</v>
      </c>
      <c r="S31" s="430">
        <v>0</v>
      </c>
      <c r="T31" s="430">
        <v>0</v>
      </c>
      <c r="U31" s="430">
        <v>6.12</v>
      </c>
      <c r="V31" s="430">
        <v>4.7</v>
      </c>
      <c r="W31" s="430">
        <v>0</v>
      </c>
      <c r="X31" s="430">
        <v>1.1399999999999999</v>
      </c>
      <c r="Y31" s="430">
        <v>0.28000000000000003</v>
      </c>
      <c r="Z31" s="430">
        <v>4.7</v>
      </c>
      <c r="IV31" s="391"/>
    </row>
    <row r="32" spans="1:256" s="390" customFormat="1">
      <c r="A32" s="364"/>
      <c r="B32" s="393"/>
      <c r="C32" s="454"/>
      <c r="D32" s="346"/>
      <c r="E32" s="356"/>
      <c r="F32" s="357"/>
      <c r="G32" s="381"/>
      <c r="J32" s="390" t="s">
        <v>313</v>
      </c>
      <c r="K32" s="430"/>
      <c r="L32" s="430">
        <v>0</v>
      </c>
      <c r="M32" s="430">
        <v>0</v>
      </c>
      <c r="N32" s="430">
        <v>0</v>
      </c>
      <c r="O32" s="430">
        <v>0</v>
      </c>
      <c r="P32" s="430">
        <v>0</v>
      </c>
      <c r="Q32" s="430">
        <v>0</v>
      </c>
      <c r="R32" s="430">
        <v>0</v>
      </c>
      <c r="S32" s="430">
        <v>0</v>
      </c>
      <c r="T32" s="430">
        <v>0</v>
      </c>
      <c r="U32" s="430">
        <v>0</v>
      </c>
      <c r="V32" s="430">
        <v>0</v>
      </c>
      <c r="W32" s="430">
        <v>0</v>
      </c>
      <c r="X32" s="430">
        <v>0</v>
      </c>
      <c r="Y32" s="430">
        <v>0</v>
      </c>
      <c r="Z32" s="430">
        <v>0</v>
      </c>
      <c r="IV32" s="391"/>
    </row>
    <row r="33" spans="1:256" s="390" customFormat="1">
      <c r="A33" s="364"/>
      <c r="B33" s="393"/>
      <c r="C33" s="454"/>
      <c r="D33" s="394"/>
      <c r="E33" s="356"/>
      <c r="F33" s="357"/>
      <c r="G33" s="381"/>
      <c r="L33" s="390">
        <f>SUM(L25:L32)</f>
        <v>0</v>
      </c>
      <c r="M33" s="390">
        <f t="shared" ref="M33:Z33" si="0">SUM(M25:M32)</f>
        <v>0</v>
      </c>
      <c r="N33" s="390">
        <f t="shared" si="0"/>
        <v>0</v>
      </c>
      <c r="O33" s="390">
        <f t="shared" si="0"/>
        <v>521.61</v>
      </c>
      <c r="P33" s="390">
        <f t="shared" si="0"/>
        <v>489.55999999999995</v>
      </c>
      <c r="Q33" s="390">
        <f t="shared" si="0"/>
        <v>32.04</v>
      </c>
      <c r="R33" s="390">
        <f t="shared" si="0"/>
        <v>0</v>
      </c>
      <c r="S33" s="390">
        <f t="shared" si="0"/>
        <v>0</v>
      </c>
      <c r="T33" s="390">
        <f t="shared" si="0"/>
        <v>0</v>
      </c>
      <c r="U33" s="390">
        <f t="shared" si="0"/>
        <v>520.30999999999995</v>
      </c>
      <c r="V33" s="390">
        <f t="shared" si="0"/>
        <v>441.46999999999997</v>
      </c>
      <c r="W33" s="390">
        <f t="shared" si="0"/>
        <v>0</v>
      </c>
      <c r="X33" s="390">
        <f t="shared" si="0"/>
        <v>63.879999999999995</v>
      </c>
      <c r="Y33" s="390">
        <f t="shared" si="0"/>
        <v>14.96</v>
      </c>
      <c r="Z33" s="390">
        <f t="shared" si="0"/>
        <v>441.46999999999997</v>
      </c>
      <c r="IV33" s="391"/>
    </row>
    <row r="34" spans="1:256" s="389" customFormat="1">
      <c r="A34" s="354" t="s">
        <v>258</v>
      </c>
      <c r="B34" s="355" t="s">
        <v>266</v>
      </c>
      <c r="C34" s="455"/>
      <c r="D34" s="352"/>
      <c r="E34" s="360"/>
      <c r="F34" s="361">
        <f>SUM(F24:F33)</f>
        <v>0</v>
      </c>
      <c r="G34" s="381"/>
      <c r="H34" s="390"/>
    </row>
    <row r="35" spans="1:256" s="389" customFormat="1">
      <c r="A35" s="395"/>
      <c r="B35" s="396"/>
      <c r="C35" s="457"/>
      <c r="D35" s="394"/>
      <c r="E35" s="398"/>
      <c r="F35" s="399"/>
      <c r="G35" s="381"/>
      <c r="H35" s="388"/>
    </row>
    <row r="36" spans="1:256" s="390" customFormat="1">
      <c r="A36" s="354" t="s">
        <v>267</v>
      </c>
      <c r="B36" s="355" t="s">
        <v>268</v>
      </c>
      <c r="C36" s="455"/>
      <c r="D36" s="352"/>
      <c r="E36" s="360"/>
      <c r="F36" s="361"/>
      <c r="G36" s="381"/>
      <c r="IV36" s="391"/>
    </row>
    <row r="37" spans="1:256" s="390" customFormat="1">
      <c r="A37" s="354"/>
      <c r="B37" s="355"/>
      <c r="C37" s="455"/>
      <c r="D37" s="352"/>
      <c r="E37" s="360"/>
      <c r="F37" s="361"/>
      <c r="G37" s="381"/>
      <c r="I37" s="390" t="s">
        <v>221</v>
      </c>
      <c r="J37" s="390" t="s">
        <v>222</v>
      </c>
      <c r="K37" s="390" t="s">
        <v>223</v>
      </c>
      <c r="L37" s="390" t="s">
        <v>224</v>
      </c>
      <c r="M37" s="390" t="s">
        <v>225</v>
      </c>
      <c r="N37" s="390" t="s">
        <v>226</v>
      </c>
      <c r="O37" s="390" t="s">
        <v>227</v>
      </c>
      <c r="P37" s="390" t="s">
        <v>228</v>
      </c>
      <c r="Q37" s="390" t="s">
        <v>229</v>
      </c>
      <c r="R37" s="390" t="s">
        <v>230</v>
      </c>
      <c r="S37" s="390" t="s">
        <v>231</v>
      </c>
      <c r="T37" s="390" t="s">
        <v>232</v>
      </c>
      <c r="U37" s="390" t="s">
        <v>233</v>
      </c>
      <c r="V37" s="390" t="s">
        <v>234</v>
      </c>
      <c r="W37" s="390" t="s">
        <v>235</v>
      </c>
      <c r="X37" s="390" t="s">
        <v>236</v>
      </c>
      <c r="Y37" s="390" t="s">
        <v>237</v>
      </c>
      <c r="IV37" s="391"/>
    </row>
    <row r="38" spans="1:256" s="390" customFormat="1" ht="38.25">
      <c r="A38" s="364" t="s">
        <v>269</v>
      </c>
      <c r="B38" s="393" t="s">
        <v>471</v>
      </c>
      <c r="C38" s="456"/>
      <c r="D38" s="346"/>
      <c r="E38" s="400"/>
      <c r="F38" s="401"/>
      <c r="G38" s="381"/>
      <c r="I38" s="390" t="s">
        <v>483</v>
      </c>
      <c r="K38" s="390">
        <v>0</v>
      </c>
      <c r="L38" s="390">
        <v>22.3</v>
      </c>
      <c r="M38" s="390">
        <v>0</v>
      </c>
      <c r="N38" s="390">
        <v>396.84</v>
      </c>
      <c r="O38" s="390">
        <v>396.45</v>
      </c>
      <c r="P38" s="390">
        <v>0.39</v>
      </c>
      <c r="Q38" s="390">
        <v>0</v>
      </c>
      <c r="R38" s="390">
        <v>0</v>
      </c>
      <c r="S38" s="390">
        <v>0</v>
      </c>
      <c r="T38" s="390">
        <v>397.01</v>
      </c>
      <c r="U38" s="390">
        <v>224.21</v>
      </c>
      <c r="V38" s="390">
        <v>83.32</v>
      </c>
      <c r="W38" s="390">
        <v>72.56</v>
      </c>
      <c r="X38" s="390">
        <v>16.91</v>
      </c>
      <c r="Y38" s="390">
        <v>218.71</v>
      </c>
      <c r="IV38" s="391"/>
    </row>
    <row r="39" spans="1:256" s="390" customFormat="1">
      <c r="A39" s="402"/>
      <c r="B39" s="393"/>
      <c r="C39" s="454">
        <f>C8*0.8</f>
        <v>162.512</v>
      </c>
      <c r="D39" s="346" t="s">
        <v>105</v>
      </c>
      <c r="E39" s="356"/>
      <c r="F39" s="357">
        <f>C39*E39</f>
        <v>0</v>
      </c>
      <c r="G39" s="381"/>
      <c r="IV39" s="391"/>
    </row>
    <row r="40" spans="1:256" s="390" customFormat="1">
      <c r="A40" s="402"/>
      <c r="B40" s="393"/>
      <c r="C40" s="454"/>
      <c r="D40" s="346"/>
      <c r="E40" s="356"/>
      <c r="F40" s="357"/>
      <c r="G40" s="381"/>
      <c r="IV40" s="391"/>
    </row>
    <row r="41" spans="1:256" s="390" customFormat="1" ht="63.75">
      <c r="A41" s="364" t="s">
        <v>270</v>
      </c>
      <c r="B41" s="393" t="s">
        <v>271</v>
      </c>
      <c r="C41" s="454"/>
      <c r="D41" s="346"/>
      <c r="E41" s="400"/>
      <c r="F41" s="401"/>
      <c r="G41" s="381"/>
      <c r="IV41" s="391"/>
    </row>
    <row r="42" spans="1:256" s="390" customFormat="1">
      <c r="A42" s="402"/>
      <c r="B42" s="393"/>
      <c r="C42" s="454">
        <f>X38</f>
        <v>16.91</v>
      </c>
      <c r="D42" s="346" t="s">
        <v>108</v>
      </c>
      <c r="E42" s="356"/>
      <c r="F42" s="357">
        <f>C42*E42</f>
        <v>0</v>
      </c>
      <c r="G42" s="381"/>
      <c r="IV42" s="391"/>
    </row>
    <row r="43" spans="1:256" s="390" customFormat="1">
      <c r="A43" s="402"/>
      <c r="B43" s="393"/>
      <c r="C43" s="456"/>
      <c r="D43" s="346"/>
      <c r="E43" s="356"/>
      <c r="F43" s="357"/>
      <c r="G43" s="381"/>
      <c r="IV43" s="391"/>
    </row>
    <row r="44" spans="1:256" s="390" customFormat="1" ht="89.25">
      <c r="A44" s="364" t="s">
        <v>272</v>
      </c>
      <c r="B44" s="393" t="s">
        <v>273</v>
      </c>
      <c r="C44" s="456"/>
      <c r="D44" s="346"/>
      <c r="E44" s="400"/>
      <c r="F44" s="401"/>
      <c r="G44" s="381"/>
      <c r="IV44" s="391"/>
    </row>
    <row r="45" spans="1:256" s="390" customFormat="1">
      <c r="A45" s="402"/>
      <c r="B45" s="393"/>
      <c r="C45" s="454">
        <f>W38</f>
        <v>72.56</v>
      </c>
      <c r="D45" s="346" t="s">
        <v>108</v>
      </c>
      <c r="E45" s="356"/>
      <c r="F45" s="357">
        <f>C45*E45</f>
        <v>0</v>
      </c>
      <c r="G45" s="381"/>
      <c r="IV45" s="391"/>
    </row>
    <row r="46" spans="1:256" s="390" customFormat="1">
      <c r="A46" s="402"/>
      <c r="B46" s="393"/>
      <c r="C46" s="454"/>
      <c r="D46" s="346"/>
      <c r="E46" s="356"/>
      <c r="F46" s="357"/>
      <c r="G46" s="381"/>
      <c r="IV46" s="391"/>
    </row>
    <row r="47" spans="1:256" s="390" customFormat="1" ht="76.5">
      <c r="A47" s="364" t="s">
        <v>274</v>
      </c>
      <c r="B47" s="393" t="s">
        <v>275</v>
      </c>
      <c r="C47" s="454"/>
      <c r="D47" s="346"/>
      <c r="E47" s="400"/>
      <c r="F47" s="401"/>
      <c r="G47" s="381"/>
      <c r="IV47" s="391"/>
    </row>
    <row r="48" spans="1:256" s="390" customFormat="1">
      <c r="A48" s="402"/>
      <c r="B48" s="393"/>
      <c r="C48" s="454">
        <f>C26-C45-C42</f>
        <v>113.66999999999999</v>
      </c>
      <c r="D48" s="346" t="s">
        <v>108</v>
      </c>
      <c r="E48" s="356"/>
      <c r="F48" s="357">
        <f>C48*E48</f>
        <v>0</v>
      </c>
      <c r="G48" s="381"/>
      <c r="IV48" s="391"/>
    </row>
    <row r="49" spans="1:256" s="390" customFormat="1">
      <c r="A49" s="402"/>
      <c r="B49" s="393"/>
      <c r="C49" s="454"/>
      <c r="D49" s="346"/>
      <c r="E49" s="356"/>
      <c r="F49" s="357"/>
      <c r="G49" s="381"/>
      <c r="IV49" s="391"/>
    </row>
    <row r="50" spans="1:256" s="389" customFormat="1" ht="51">
      <c r="A50" s="364" t="s">
        <v>276</v>
      </c>
      <c r="B50" s="393" t="s">
        <v>279</v>
      </c>
      <c r="C50" s="454"/>
      <c r="D50" s="346"/>
      <c r="E50" s="400"/>
      <c r="F50" s="401"/>
      <c r="G50" s="381"/>
      <c r="H50" s="381"/>
    </row>
    <row r="51" spans="1:256" s="389" customFormat="1">
      <c r="A51" s="402"/>
      <c r="B51" s="393"/>
      <c r="C51" s="454">
        <f>(C26+C32-C48)*1.4</f>
        <v>125.258</v>
      </c>
      <c r="D51" s="346" t="s">
        <v>108</v>
      </c>
      <c r="E51" s="356"/>
      <c r="F51" s="357">
        <f>C51*E51</f>
        <v>0</v>
      </c>
      <c r="G51" s="381"/>
      <c r="H51" s="381"/>
    </row>
    <row r="52" spans="1:256" s="389" customFormat="1">
      <c r="A52" s="402"/>
      <c r="B52" s="393"/>
      <c r="C52" s="454"/>
      <c r="D52" s="346"/>
      <c r="E52" s="356"/>
      <c r="F52" s="357"/>
      <c r="G52" s="381"/>
      <c r="H52" s="388"/>
    </row>
    <row r="53" spans="1:256" s="389" customFormat="1">
      <c r="A53" s="364" t="s">
        <v>278</v>
      </c>
      <c r="B53" s="393" t="s">
        <v>281</v>
      </c>
      <c r="C53" s="454"/>
      <c r="D53" s="346"/>
      <c r="E53" s="400"/>
      <c r="F53" s="401"/>
      <c r="G53" s="381"/>
      <c r="H53" s="388"/>
    </row>
    <row r="54" spans="1:256" s="389" customFormat="1">
      <c r="A54" s="402"/>
      <c r="B54" s="393"/>
      <c r="C54" s="454">
        <v>5</v>
      </c>
      <c r="D54" s="346" t="s">
        <v>71</v>
      </c>
      <c r="E54" s="356"/>
      <c r="F54" s="357">
        <f>C54*E54</f>
        <v>0</v>
      </c>
      <c r="G54" s="381"/>
      <c r="H54" s="388"/>
    </row>
    <row r="55" spans="1:256" s="389" customFormat="1">
      <c r="A55" s="402"/>
      <c r="B55" s="393"/>
      <c r="C55" s="456"/>
      <c r="D55" s="346"/>
      <c r="E55" s="356"/>
      <c r="F55" s="357"/>
      <c r="G55" s="381"/>
      <c r="H55" s="388"/>
    </row>
    <row r="56" spans="1:256" s="389" customFormat="1">
      <c r="A56" s="354" t="s">
        <v>267</v>
      </c>
      <c r="B56" s="355" t="s">
        <v>282</v>
      </c>
      <c r="C56" s="455"/>
      <c r="D56" s="352"/>
      <c r="E56" s="360"/>
      <c r="F56" s="361">
        <f>SUM(F38:F54)</f>
        <v>0</v>
      </c>
      <c r="G56" s="381"/>
      <c r="H56" s="390"/>
    </row>
    <row r="57" spans="1:256" s="389" customFormat="1">
      <c r="A57" s="354"/>
      <c r="B57" s="355"/>
      <c r="C57" s="455"/>
      <c r="D57" s="352"/>
      <c r="E57" s="360"/>
      <c r="F57" s="361"/>
      <c r="G57" s="381"/>
      <c r="H57" s="390"/>
    </row>
    <row r="58" spans="1:256" s="389" customFormat="1" ht="38.25">
      <c r="A58" s="364" t="s">
        <v>280</v>
      </c>
      <c r="B58" s="393" t="s">
        <v>284</v>
      </c>
      <c r="C58" s="456"/>
      <c r="D58" s="394"/>
      <c r="E58" s="356"/>
      <c r="F58" s="357"/>
      <c r="G58" s="381"/>
      <c r="H58" s="388"/>
    </row>
    <row r="59" spans="1:256" s="389" customFormat="1">
      <c r="A59" s="395"/>
      <c r="B59" s="396"/>
      <c r="C59" s="470"/>
      <c r="D59" s="394"/>
      <c r="E59" s="404"/>
      <c r="F59" s="715">
        <f>SUM(F56,F34)*0.05</f>
        <v>0</v>
      </c>
      <c r="G59" s="381"/>
      <c r="H59" s="388"/>
    </row>
    <row r="60" spans="1:256" s="389" customFormat="1">
      <c r="A60" s="354"/>
      <c r="B60" s="355"/>
      <c r="C60" s="455"/>
      <c r="D60" s="352"/>
      <c r="E60" s="360"/>
      <c r="F60" s="361"/>
      <c r="G60" s="381"/>
      <c r="H60" s="390"/>
    </row>
    <row r="61" spans="1:256" s="350" customFormat="1">
      <c r="A61" s="348" t="s">
        <v>177</v>
      </c>
      <c r="B61" s="349" t="s">
        <v>285</v>
      </c>
      <c r="C61" s="468"/>
      <c r="E61" s="376"/>
      <c r="F61" s="377">
        <f>F59+F56+F34</f>
        <v>0</v>
      </c>
      <c r="G61" s="345"/>
    </row>
    <row r="62" spans="1:256" s="350" customFormat="1">
      <c r="A62" s="348"/>
      <c r="B62" s="349"/>
      <c r="C62" s="468"/>
      <c r="E62" s="376"/>
      <c r="F62" s="377"/>
      <c r="G62" s="345"/>
    </row>
    <row r="63" spans="1:256" s="407" customFormat="1">
      <c r="A63" s="348" t="s">
        <v>175</v>
      </c>
      <c r="B63" s="349" t="s">
        <v>286</v>
      </c>
      <c r="C63" s="468"/>
      <c r="D63" s="350"/>
      <c r="E63" s="376"/>
      <c r="F63" s="377"/>
    </row>
    <row r="64" spans="1:256" s="407" customFormat="1">
      <c r="A64" s="349"/>
      <c r="B64" s="349"/>
      <c r="C64" s="471"/>
      <c r="D64" s="409"/>
      <c r="E64" s="410"/>
      <c r="F64" s="411"/>
    </row>
    <row r="65" spans="1:12" s="412" customFormat="1" ht="76.5">
      <c r="A65" s="364" t="s">
        <v>287</v>
      </c>
      <c r="B65" s="393" t="s">
        <v>288</v>
      </c>
      <c r="C65" s="456"/>
      <c r="D65" s="346"/>
      <c r="E65" s="356"/>
      <c r="F65" s="357"/>
    </row>
    <row r="66" spans="1:12" s="407" customFormat="1">
      <c r="A66" s="392"/>
      <c r="B66" s="393"/>
      <c r="C66" s="454">
        <f>C89+C90+C97</f>
        <v>1</v>
      </c>
      <c r="D66" s="346" t="s">
        <v>190</v>
      </c>
      <c r="E66" s="356"/>
      <c r="F66" s="357">
        <f>C66*E66</f>
        <v>0</v>
      </c>
    </row>
    <row r="67" spans="1:12" s="407" customFormat="1">
      <c r="A67" s="392"/>
      <c r="B67" s="393"/>
      <c r="C67" s="456"/>
      <c r="D67" s="346"/>
      <c r="E67" s="356"/>
      <c r="F67" s="357"/>
    </row>
    <row r="68" spans="1:12" s="407" customFormat="1" ht="51">
      <c r="A68" s="364" t="s">
        <v>289</v>
      </c>
      <c r="B68" s="393" t="s">
        <v>330</v>
      </c>
      <c r="C68" s="456"/>
      <c r="D68" s="346"/>
      <c r="E68" s="356"/>
      <c r="F68" s="357"/>
    </row>
    <row r="69" spans="1:12" s="407" customFormat="1">
      <c r="A69" s="392"/>
      <c r="B69" s="393"/>
      <c r="C69" s="454">
        <f>C96+C97</f>
        <v>1</v>
      </c>
      <c r="D69" s="346" t="s">
        <v>190</v>
      </c>
      <c r="E69" s="356"/>
      <c r="F69" s="357">
        <f>C69*E69</f>
        <v>0</v>
      </c>
    </row>
    <row r="70" spans="1:12" s="407" customFormat="1">
      <c r="A70" s="392"/>
      <c r="B70" s="393"/>
      <c r="C70" s="456"/>
      <c r="D70" s="346"/>
      <c r="E70" s="356"/>
      <c r="F70" s="357"/>
    </row>
    <row r="71" spans="1:12" s="407" customFormat="1" ht="38.25">
      <c r="A71" s="364" t="s">
        <v>291</v>
      </c>
      <c r="B71" s="393" t="s">
        <v>290</v>
      </c>
      <c r="C71" s="456"/>
      <c r="D71" s="346"/>
      <c r="E71" s="356"/>
      <c r="F71" s="357"/>
    </row>
    <row r="72" spans="1:12" s="407" customFormat="1">
      <c r="A72" s="392"/>
      <c r="B72" s="393"/>
      <c r="C72" s="454">
        <v>2</v>
      </c>
      <c r="D72" s="346" t="s">
        <v>190</v>
      </c>
      <c r="E72" s="356"/>
      <c r="F72" s="357">
        <f>C72*E72</f>
        <v>0</v>
      </c>
    </row>
    <row r="73" spans="1:12" s="407" customFormat="1">
      <c r="A73" s="392"/>
      <c r="B73" s="393"/>
      <c r="C73" s="456"/>
      <c r="D73" s="346"/>
      <c r="E73" s="356"/>
      <c r="F73" s="357"/>
    </row>
    <row r="74" spans="1:12" s="350" customFormat="1" ht="38.25">
      <c r="A74" s="364" t="s">
        <v>329</v>
      </c>
      <c r="B74" s="393" t="s">
        <v>292</v>
      </c>
      <c r="C74" s="456"/>
      <c r="D74" s="346"/>
      <c r="E74" s="356"/>
      <c r="F74" s="357"/>
      <c r="G74" s="345"/>
    </row>
    <row r="75" spans="1:12" s="350" customFormat="1">
      <c r="A75" s="413"/>
      <c r="B75" s="393"/>
      <c r="C75" s="454">
        <v>6</v>
      </c>
      <c r="D75" s="346" t="s">
        <v>105</v>
      </c>
      <c r="E75" s="356"/>
      <c r="F75" s="357">
        <f>C75*E75</f>
        <v>0</v>
      </c>
      <c r="G75" s="381"/>
      <c r="I75" s="346"/>
      <c r="J75" s="346"/>
      <c r="K75" s="346"/>
      <c r="L75" s="346"/>
    </row>
    <row r="76" spans="1:12" s="389" customFormat="1">
      <c r="A76" s="413"/>
      <c r="B76" s="393"/>
      <c r="C76" s="454"/>
      <c r="D76" s="346"/>
      <c r="E76" s="356"/>
      <c r="F76" s="357"/>
      <c r="G76" s="381"/>
      <c r="H76" s="381"/>
      <c r="I76" s="346"/>
      <c r="J76" s="346"/>
      <c r="K76" s="346"/>
      <c r="L76" s="346"/>
    </row>
    <row r="77" spans="1:12" s="389" customFormat="1">
      <c r="A77" s="348" t="s">
        <v>175</v>
      </c>
      <c r="B77" s="349" t="s">
        <v>293</v>
      </c>
      <c r="C77" s="464"/>
      <c r="D77" s="350"/>
      <c r="E77" s="376"/>
      <c r="F77" s="377">
        <f>SUM(F66:F76)</f>
        <v>0</v>
      </c>
      <c r="G77" s="381"/>
      <c r="H77" s="390"/>
      <c r="I77" s="346"/>
      <c r="J77" s="346"/>
      <c r="K77" s="346"/>
      <c r="L77" s="346"/>
    </row>
    <row r="78" spans="1:12" s="389" customFormat="1">
      <c r="A78" s="348"/>
      <c r="B78" s="349"/>
      <c r="C78" s="464"/>
      <c r="D78" s="350"/>
      <c r="E78" s="376"/>
      <c r="F78" s="377"/>
      <c r="G78" s="381"/>
      <c r="H78" s="390"/>
      <c r="I78" s="352"/>
      <c r="J78" s="352"/>
      <c r="K78" s="352"/>
      <c r="L78" s="352"/>
    </row>
    <row r="79" spans="1:12" s="389" customFormat="1">
      <c r="A79" s="348" t="s">
        <v>185</v>
      </c>
      <c r="B79" s="349" t="s">
        <v>294</v>
      </c>
      <c r="C79" s="464"/>
      <c r="D79" s="350"/>
      <c r="E79" s="376"/>
      <c r="F79" s="377"/>
      <c r="G79" s="381"/>
      <c r="H79" s="390"/>
      <c r="I79" s="352"/>
      <c r="J79" s="352"/>
      <c r="K79" s="352"/>
      <c r="L79" s="352"/>
    </row>
    <row r="80" spans="1:12" s="389" customFormat="1">
      <c r="A80" s="402"/>
      <c r="B80" s="393"/>
      <c r="C80" s="454"/>
      <c r="D80" s="346"/>
      <c r="E80" s="356"/>
      <c r="F80" s="357"/>
      <c r="G80" s="381"/>
      <c r="H80" s="390"/>
      <c r="I80" s="352"/>
      <c r="J80" s="352"/>
      <c r="K80" s="352"/>
      <c r="L80" s="352"/>
    </row>
    <row r="81" spans="1:12" s="389" customFormat="1" ht="38.25">
      <c r="A81" s="392"/>
      <c r="B81" s="393" t="s">
        <v>315</v>
      </c>
      <c r="C81" s="454"/>
      <c r="D81" s="346"/>
      <c r="E81" s="400"/>
      <c r="F81" s="401"/>
      <c r="G81" s="381"/>
      <c r="I81" s="346"/>
      <c r="J81" s="346"/>
      <c r="K81" s="346"/>
      <c r="L81" s="346"/>
    </row>
    <row r="82" spans="1:12" s="389" customFormat="1">
      <c r="A82" s="364" t="s">
        <v>295</v>
      </c>
      <c r="B82" s="393" t="s">
        <v>306</v>
      </c>
      <c r="C82" s="454">
        <f>K84</f>
        <v>203.14</v>
      </c>
      <c r="D82" s="346" t="s">
        <v>115</v>
      </c>
      <c r="E82" s="356"/>
      <c r="F82" s="357">
        <f>C82*E82</f>
        <v>0</v>
      </c>
      <c r="G82" s="381"/>
      <c r="I82" s="346"/>
      <c r="J82" s="346"/>
      <c r="K82" s="346"/>
      <c r="L82" s="346"/>
    </row>
    <row r="83" spans="1:12" s="389" customFormat="1">
      <c r="A83" s="402"/>
      <c r="B83" s="393"/>
      <c r="C83" s="454"/>
      <c r="D83" s="346"/>
      <c r="E83" s="356"/>
      <c r="F83" s="357"/>
      <c r="G83" s="381"/>
      <c r="H83" s="415"/>
      <c r="I83" s="346" t="s">
        <v>221</v>
      </c>
      <c r="J83" s="346" t="s">
        <v>238</v>
      </c>
      <c r="K83" s="346" t="s">
        <v>239</v>
      </c>
      <c r="L83" s="346"/>
    </row>
    <row r="84" spans="1:12" s="389" customFormat="1" ht="76.5">
      <c r="A84" s="392"/>
      <c r="B84" s="393" t="s">
        <v>319</v>
      </c>
      <c r="C84" s="454"/>
      <c r="D84" s="346"/>
      <c r="E84" s="400"/>
      <c r="F84" s="401"/>
      <c r="G84" s="381"/>
      <c r="H84" s="415"/>
      <c r="I84" s="346" t="s">
        <v>306</v>
      </c>
      <c r="J84" s="346">
        <v>100</v>
      </c>
      <c r="K84" s="346">
        <v>203.14</v>
      </c>
      <c r="L84" s="346"/>
    </row>
    <row r="85" spans="1:12" s="389" customFormat="1">
      <c r="A85" s="364" t="s">
        <v>296</v>
      </c>
      <c r="B85" s="393" t="s">
        <v>306</v>
      </c>
      <c r="C85" s="454">
        <f>C82</f>
        <v>203.14</v>
      </c>
      <c r="D85" s="346" t="s">
        <v>115</v>
      </c>
      <c r="E85" s="356"/>
      <c r="F85" s="357">
        <f>C85*E85</f>
        <v>0</v>
      </c>
      <c r="G85" s="381"/>
      <c r="H85" s="415"/>
      <c r="I85" s="346" t="s">
        <v>221</v>
      </c>
      <c r="J85" s="346" t="s">
        <v>238</v>
      </c>
      <c r="K85" s="346" t="s">
        <v>239</v>
      </c>
      <c r="L85" s="346"/>
    </row>
    <row r="86" spans="1:12" s="389" customFormat="1">
      <c r="A86" s="364"/>
      <c r="B86" s="393"/>
      <c r="C86" s="454"/>
      <c r="D86" s="346"/>
      <c r="E86" s="356"/>
      <c r="F86" s="357"/>
      <c r="G86" s="381"/>
      <c r="H86" s="415"/>
      <c r="I86" s="346" t="s">
        <v>308</v>
      </c>
      <c r="J86" s="346">
        <v>80</v>
      </c>
      <c r="K86" s="346">
        <v>0</v>
      </c>
      <c r="L86" s="346"/>
    </row>
    <row r="87" spans="1:12" s="421" customFormat="1">
      <c r="A87" s="364"/>
      <c r="B87" s="393"/>
      <c r="C87" s="454"/>
      <c r="D87" s="346"/>
      <c r="E87" s="356"/>
      <c r="F87" s="357"/>
      <c r="G87" s="419"/>
      <c r="H87" s="420"/>
    </row>
    <row r="88" spans="1:12" s="389" customFormat="1" ht="76.5">
      <c r="A88" s="392" t="s">
        <v>297</v>
      </c>
      <c r="B88" s="393" t="s">
        <v>298</v>
      </c>
      <c r="C88" s="458"/>
      <c r="D88" s="363"/>
      <c r="E88" s="414"/>
      <c r="F88" s="414"/>
      <c r="G88" s="381"/>
      <c r="H88" s="390"/>
    </row>
    <row r="89" spans="1:12" s="350" customFormat="1">
      <c r="A89" s="363"/>
      <c r="B89" s="363"/>
      <c r="C89" s="458"/>
      <c r="D89" s="416"/>
      <c r="E89" s="414"/>
      <c r="F89" s="414"/>
      <c r="G89" s="345"/>
    </row>
    <row r="90" spans="1:12" s="350" customFormat="1">
      <c r="A90" s="363">
        <v>1</v>
      </c>
      <c r="B90" s="363" t="s">
        <v>326</v>
      </c>
      <c r="C90" s="458">
        <v>1</v>
      </c>
      <c r="D90" s="416" t="s">
        <v>190</v>
      </c>
      <c r="E90" s="414"/>
      <c r="F90" s="414">
        <f t="shared" ref="F90:F100" si="1">C90*E90</f>
        <v>0</v>
      </c>
      <c r="G90" s="345"/>
    </row>
    <row r="91" spans="1:12" s="350" customFormat="1">
      <c r="A91" s="363"/>
      <c r="B91" s="363"/>
      <c r="C91" s="458"/>
      <c r="D91" s="346"/>
      <c r="E91" s="414"/>
      <c r="F91" s="414"/>
      <c r="G91" s="345"/>
    </row>
    <row r="92" spans="1:12" s="350" customFormat="1">
      <c r="A92" s="363">
        <v>2</v>
      </c>
      <c r="B92" s="363" t="s">
        <v>475</v>
      </c>
      <c r="C92" s="458">
        <v>1</v>
      </c>
      <c r="D92" s="346" t="s">
        <v>190</v>
      </c>
      <c r="E92" s="414"/>
      <c r="F92" s="414">
        <f t="shared" si="1"/>
        <v>0</v>
      </c>
      <c r="G92" s="345"/>
    </row>
    <row r="93" spans="1:12" s="350" customFormat="1">
      <c r="A93" s="363"/>
      <c r="B93" s="363"/>
      <c r="C93" s="458"/>
      <c r="D93" s="346"/>
      <c r="E93" s="414"/>
      <c r="F93" s="414"/>
      <c r="G93" s="345"/>
    </row>
    <row r="94" spans="1:12" s="350" customFormat="1">
      <c r="A94" s="434"/>
      <c r="B94" s="417"/>
      <c r="C94" s="459"/>
      <c r="D94" s="346"/>
      <c r="E94" s="414"/>
      <c r="F94" s="414"/>
      <c r="G94" s="345"/>
    </row>
    <row r="95" spans="1:12" s="346" customFormat="1">
      <c r="A95" s="434">
        <v>3</v>
      </c>
      <c r="B95" s="417" t="s">
        <v>323</v>
      </c>
      <c r="C95" s="459">
        <v>3</v>
      </c>
      <c r="D95" s="346" t="s">
        <v>190</v>
      </c>
      <c r="E95" s="414"/>
      <c r="F95" s="414">
        <f t="shared" si="1"/>
        <v>0</v>
      </c>
      <c r="G95" s="345"/>
      <c r="H95" s="345"/>
    </row>
    <row r="96" spans="1:12" s="389" customFormat="1">
      <c r="A96" s="434">
        <v>4</v>
      </c>
      <c r="B96" s="417" t="s">
        <v>478</v>
      </c>
      <c r="C96" s="459">
        <v>1</v>
      </c>
      <c r="D96" s="346" t="s">
        <v>190</v>
      </c>
      <c r="E96" s="414"/>
      <c r="F96" s="414">
        <f t="shared" si="1"/>
        <v>0</v>
      </c>
    </row>
    <row r="97" spans="1:256" s="389" customFormat="1">
      <c r="A97" s="431"/>
      <c r="B97" s="432"/>
      <c r="C97" s="460"/>
      <c r="D97" s="433"/>
      <c r="E97" s="414"/>
      <c r="F97" s="414"/>
    </row>
    <row r="98" spans="1:256" s="389" customFormat="1">
      <c r="A98" s="434">
        <v>5</v>
      </c>
      <c r="B98" s="418" t="s">
        <v>327</v>
      </c>
      <c r="C98" s="459">
        <v>1</v>
      </c>
      <c r="D98" s="346" t="s">
        <v>190</v>
      </c>
      <c r="E98" s="414"/>
      <c r="F98" s="414">
        <f t="shared" si="1"/>
        <v>0</v>
      </c>
    </row>
    <row r="99" spans="1:256" s="389" customFormat="1">
      <c r="A99" s="435">
        <v>6</v>
      </c>
      <c r="B99" s="417" t="s">
        <v>481</v>
      </c>
      <c r="C99" s="458">
        <v>1</v>
      </c>
      <c r="D99" s="346" t="s">
        <v>190</v>
      </c>
      <c r="E99" s="414"/>
      <c r="F99" s="414">
        <f t="shared" si="1"/>
        <v>0</v>
      </c>
    </row>
    <row r="100" spans="1:256" s="389" customFormat="1">
      <c r="A100" s="435">
        <v>7</v>
      </c>
      <c r="B100" s="417" t="s">
        <v>474</v>
      </c>
      <c r="C100" s="458">
        <v>1</v>
      </c>
      <c r="D100" s="346" t="s">
        <v>190</v>
      </c>
      <c r="E100" s="414"/>
      <c r="F100" s="414">
        <f t="shared" si="1"/>
        <v>0</v>
      </c>
    </row>
    <row r="101" spans="1:256" s="389" customFormat="1" ht="63.75">
      <c r="A101" s="364" t="s">
        <v>837</v>
      </c>
      <c r="B101" s="393" t="s">
        <v>477</v>
      </c>
      <c r="C101" s="458"/>
      <c r="D101" s="363"/>
      <c r="E101" s="414"/>
      <c r="F101" s="414"/>
    </row>
    <row r="102" spans="1:256" s="389" customFormat="1">
      <c r="A102" s="422"/>
      <c r="B102" s="423"/>
      <c r="C102" s="462">
        <v>1</v>
      </c>
      <c r="D102" s="416" t="s">
        <v>190</v>
      </c>
      <c r="E102" s="424"/>
      <c r="F102" s="425">
        <f>C102*E102</f>
        <v>0</v>
      </c>
    </row>
    <row r="103" spans="1:256" s="389" customFormat="1">
      <c r="A103" s="354"/>
      <c r="B103" s="355"/>
      <c r="C103" s="455"/>
      <c r="D103" s="352"/>
      <c r="E103" s="360"/>
      <c r="F103" s="361"/>
    </row>
    <row r="104" spans="1:256" s="346" customFormat="1">
      <c r="A104" s="348" t="s">
        <v>185</v>
      </c>
      <c r="B104" s="349" t="s">
        <v>299</v>
      </c>
      <c r="C104" s="464"/>
      <c r="D104" s="350"/>
      <c r="E104" s="376"/>
      <c r="F104" s="377">
        <f>SUM(F80:F102)</f>
        <v>0</v>
      </c>
      <c r="G104" s="345"/>
      <c r="H104" s="345"/>
    </row>
    <row r="105" spans="1:256" s="350" customFormat="1">
      <c r="A105" s="354"/>
      <c r="B105" s="355"/>
      <c r="C105" s="455"/>
      <c r="D105" s="352"/>
      <c r="E105" s="352"/>
      <c r="F105" s="353"/>
      <c r="G105" s="381"/>
    </row>
    <row r="106" spans="1:256" s="352" customFormat="1">
      <c r="A106" s="348" t="s">
        <v>102</v>
      </c>
      <c r="B106" s="349" t="s">
        <v>170</v>
      </c>
      <c r="C106" s="464"/>
      <c r="D106" s="350"/>
      <c r="E106" s="376"/>
      <c r="F106" s="377"/>
      <c r="G106" s="345"/>
      <c r="H106" s="345"/>
      <c r="IV106" s="405"/>
    </row>
    <row r="107" spans="1:256">
      <c r="A107" s="402"/>
      <c r="B107" s="368"/>
      <c r="C107" s="456"/>
      <c r="D107" s="346"/>
      <c r="E107" s="426"/>
      <c r="F107" s="427"/>
    </row>
    <row r="108" spans="1:256" ht="25.5">
      <c r="A108" s="364" t="s">
        <v>300</v>
      </c>
      <c r="B108" s="393" t="s">
        <v>301</v>
      </c>
      <c r="C108" s="454"/>
      <c r="D108" s="346"/>
      <c r="E108" s="400"/>
      <c r="F108" s="401"/>
    </row>
    <row r="109" spans="1:256">
      <c r="A109" s="402"/>
      <c r="B109" s="393"/>
      <c r="C109" s="454">
        <f>C8</f>
        <v>203.14</v>
      </c>
      <c r="D109" s="346" t="s">
        <v>115</v>
      </c>
      <c r="E109" s="356"/>
      <c r="F109" s="357">
        <f>C109*E109</f>
        <v>0</v>
      </c>
    </row>
    <row r="110" spans="1:256">
      <c r="A110" s="402"/>
      <c r="B110" s="393"/>
      <c r="C110" s="454"/>
      <c r="D110" s="346"/>
      <c r="E110" s="356"/>
      <c r="F110" s="357"/>
    </row>
    <row r="111" spans="1:256" ht="51">
      <c r="A111" s="364" t="s">
        <v>302</v>
      </c>
      <c r="B111" s="393" t="s">
        <v>303</v>
      </c>
      <c r="C111" s="458"/>
      <c r="D111" s="363"/>
      <c r="E111" s="414"/>
      <c r="F111" s="414"/>
    </row>
    <row r="112" spans="1:256">
      <c r="A112" s="364"/>
      <c r="B112" s="393"/>
      <c r="C112" s="454">
        <f>C109</f>
        <v>203.14</v>
      </c>
      <c r="D112" s="346" t="s">
        <v>115</v>
      </c>
      <c r="E112" s="356"/>
      <c r="F112" s="357">
        <f>C112*E112</f>
        <v>0</v>
      </c>
    </row>
    <row r="113" spans="1:6">
      <c r="C113" s="457"/>
      <c r="E113" s="406"/>
    </row>
    <row r="114" spans="1:6">
      <c r="A114" s="348" t="s">
        <v>102</v>
      </c>
      <c r="B114" s="349" t="s">
        <v>304</v>
      </c>
      <c r="C114" s="464"/>
      <c r="D114" s="350"/>
      <c r="E114" s="376"/>
      <c r="F114" s="377">
        <f>SUM(F108:F113)</f>
        <v>0</v>
      </c>
    </row>
    <row r="115" spans="1:6">
      <c r="C115" s="457"/>
      <c r="E115" s="406"/>
    </row>
    <row r="117" spans="1:6">
      <c r="A117" s="429"/>
      <c r="B117" s="346"/>
      <c r="C117" s="466"/>
      <c r="D117" s="346"/>
      <c r="E117" s="346"/>
      <c r="F117" s="346"/>
    </row>
    <row r="118" spans="1:6">
      <c r="A118" s="429"/>
      <c r="B118" s="346"/>
      <c r="C118" s="466"/>
      <c r="D118" s="346"/>
      <c r="E118" s="346"/>
      <c r="F118" s="346"/>
    </row>
  </sheetData>
  <pageMargins left="0.70866141732283472" right="0.70866141732283472" top="0.74803149606299213" bottom="0.74803149606299213" header="0.31496062992125984" footer="0.31496062992125984"/>
  <pageSetup paperSize="9" orientation="portrait" r:id="rId1"/>
  <headerFooter>
    <oddHeader>&amp;CProjekt Dolenje in Gorenje Ponikve:
Kanalizacija, rekonstrukcija vodovoda in pločnik med naseljema</oddHeader>
    <oddFooter>&amp;R&amp;P/&amp;N</oddFooter>
  </headerFooter>
  <rowBreaks count="5" manualBreakCount="5">
    <brk id="19" max="5" man="1"/>
    <brk id="42" max="5" man="1"/>
    <brk id="61" max="5" man="1"/>
    <brk id="78" max="5" man="1"/>
    <brk id="104" max="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V105"/>
  <sheetViews>
    <sheetView view="pageBreakPreview" topLeftCell="A58" zoomScale="140" zoomScaleNormal="150" zoomScaleSheetLayoutView="140" workbookViewId="0">
      <selection activeCell="E98" sqref="E98"/>
    </sheetView>
  </sheetViews>
  <sheetFormatPr defaultColWidth="9" defaultRowHeight="12.75"/>
  <cols>
    <col min="1" max="1" width="7.42578125" style="395" bestFit="1" customWidth="1"/>
    <col min="2" max="2" width="41.42578125" style="396" customWidth="1"/>
    <col min="3" max="3" width="8.7109375" style="472" customWidth="1"/>
    <col min="4" max="4" width="6.140625" style="394" customWidth="1"/>
    <col min="5" max="5" width="12.28515625" style="394" customWidth="1"/>
    <col min="6" max="6" width="11.28515625" style="428" customWidth="1"/>
    <col min="7" max="7" width="10.140625" style="394" customWidth="1"/>
    <col min="8" max="8" width="2" style="394" bestFit="1" customWidth="1"/>
    <col min="9" max="9" width="19.5703125" style="394" customWidth="1"/>
    <col min="10" max="10" width="4.85546875" style="394" customWidth="1"/>
    <col min="11" max="11" width="9.85546875" style="394" customWidth="1"/>
    <col min="12" max="12" width="12" style="394" customWidth="1"/>
    <col min="13" max="256" width="9" style="394"/>
    <col min="257" max="257" width="7.42578125" style="394" bestFit="1" customWidth="1"/>
    <col min="258" max="258" width="37.42578125" style="394" customWidth="1"/>
    <col min="259" max="259" width="14.140625" style="394" customWidth="1"/>
    <col min="260" max="260" width="6.140625" style="394" customWidth="1"/>
    <col min="261" max="261" width="12.28515625" style="394" customWidth="1"/>
    <col min="262" max="262" width="15.42578125" style="394" customWidth="1"/>
    <col min="263" max="263" width="10.140625" style="394" customWidth="1"/>
    <col min="264" max="264" width="2" style="394" bestFit="1" customWidth="1"/>
    <col min="265" max="265" width="39.42578125" style="394" customWidth="1"/>
    <col min="266" max="512" width="9" style="394"/>
    <col min="513" max="513" width="7.42578125" style="394" bestFit="1" customWidth="1"/>
    <col min="514" max="514" width="37.42578125" style="394" customWidth="1"/>
    <col min="515" max="515" width="14.140625" style="394" customWidth="1"/>
    <col min="516" max="516" width="6.140625" style="394" customWidth="1"/>
    <col min="517" max="517" width="12.28515625" style="394" customWidth="1"/>
    <col min="518" max="518" width="15.42578125" style="394" customWidth="1"/>
    <col min="519" max="519" width="10.140625" style="394" customWidth="1"/>
    <col min="520" max="520" width="2" style="394" bestFit="1" customWidth="1"/>
    <col min="521" max="521" width="39.42578125" style="394" customWidth="1"/>
    <col min="522" max="768" width="9" style="394"/>
    <col min="769" max="769" width="7.42578125" style="394" bestFit="1" customWidth="1"/>
    <col min="770" max="770" width="37.42578125" style="394" customWidth="1"/>
    <col min="771" max="771" width="14.140625" style="394" customWidth="1"/>
    <col min="772" max="772" width="6.140625" style="394" customWidth="1"/>
    <col min="773" max="773" width="12.28515625" style="394" customWidth="1"/>
    <col min="774" max="774" width="15.42578125" style="394" customWidth="1"/>
    <col min="775" max="775" width="10.140625" style="394" customWidth="1"/>
    <col min="776" max="776" width="2" style="394" bestFit="1" customWidth="1"/>
    <col min="777" max="777" width="39.42578125" style="394" customWidth="1"/>
    <col min="778" max="1024" width="9" style="394"/>
    <col min="1025" max="1025" width="7.42578125" style="394" bestFit="1" customWidth="1"/>
    <col min="1026" max="1026" width="37.42578125" style="394" customWidth="1"/>
    <col min="1027" max="1027" width="14.140625" style="394" customWidth="1"/>
    <col min="1028" max="1028" width="6.140625" style="394" customWidth="1"/>
    <col min="1029" max="1029" width="12.28515625" style="394" customWidth="1"/>
    <col min="1030" max="1030" width="15.42578125" style="394" customWidth="1"/>
    <col min="1031" max="1031" width="10.140625" style="394" customWidth="1"/>
    <col min="1032" max="1032" width="2" style="394" bestFit="1" customWidth="1"/>
    <col min="1033" max="1033" width="39.42578125" style="394" customWidth="1"/>
    <col min="1034" max="1280" width="9" style="394"/>
    <col min="1281" max="1281" width="7.42578125" style="394" bestFit="1" customWidth="1"/>
    <col min="1282" max="1282" width="37.42578125" style="394" customWidth="1"/>
    <col min="1283" max="1283" width="14.140625" style="394" customWidth="1"/>
    <col min="1284" max="1284" width="6.140625" style="394" customWidth="1"/>
    <col min="1285" max="1285" width="12.28515625" style="394" customWidth="1"/>
    <col min="1286" max="1286" width="15.42578125" style="394" customWidth="1"/>
    <col min="1287" max="1287" width="10.140625" style="394" customWidth="1"/>
    <col min="1288" max="1288" width="2" style="394" bestFit="1" customWidth="1"/>
    <col min="1289" max="1289" width="39.42578125" style="394" customWidth="1"/>
    <col min="1290" max="1536" width="9" style="394"/>
    <col min="1537" max="1537" width="7.42578125" style="394" bestFit="1" customWidth="1"/>
    <col min="1538" max="1538" width="37.42578125" style="394" customWidth="1"/>
    <col min="1539" max="1539" width="14.140625" style="394" customWidth="1"/>
    <col min="1540" max="1540" width="6.140625" style="394" customWidth="1"/>
    <col min="1541" max="1541" width="12.28515625" style="394" customWidth="1"/>
    <col min="1542" max="1542" width="15.42578125" style="394" customWidth="1"/>
    <col min="1543" max="1543" width="10.140625" style="394" customWidth="1"/>
    <col min="1544" max="1544" width="2" style="394" bestFit="1" customWidth="1"/>
    <col min="1545" max="1545" width="39.42578125" style="394" customWidth="1"/>
    <col min="1546" max="1792" width="9" style="394"/>
    <col min="1793" max="1793" width="7.42578125" style="394" bestFit="1" customWidth="1"/>
    <col min="1794" max="1794" width="37.42578125" style="394" customWidth="1"/>
    <col min="1795" max="1795" width="14.140625" style="394" customWidth="1"/>
    <col min="1796" max="1796" width="6.140625" style="394" customWidth="1"/>
    <col min="1797" max="1797" width="12.28515625" style="394" customWidth="1"/>
    <col min="1798" max="1798" width="15.42578125" style="394" customWidth="1"/>
    <col min="1799" max="1799" width="10.140625" style="394" customWidth="1"/>
    <col min="1800" max="1800" width="2" style="394" bestFit="1" customWidth="1"/>
    <col min="1801" max="1801" width="39.42578125" style="394" customWidth="1"/>
    <col min="1802" max="2048" width="9" style="394"/>
    <col min="2049" max="2049" width="7.42578125" style="394" bestFit="1" customWidth="1"/>
    <col min="2050" max="2050" width="37.42578125" style="394" customWidth="1"/>
    <col min="2051" max="2051" width="14.140625" style="394" customWidth="1"/>
    <col min="2052" max="2052" width="6.140625" style="394" customWidth="1"/>
    <col min="2053" max="2053" width="12.28515625" style="394" customWidth="1"/>
    <col min="2054" max="2054" width="15.42578125" style="394" customWidth="1"/>
    <col min="2055" max="2055" width="10.140625" style="394" customWidth="1"/>
    <col min="2056" max="2056" width="2" style="394" bestFit="1" customWidth="1"/>
    <col min="2057" max="2057" width="39.42578125" style="394" customWidth="1"/>
    <col min="2058" max="2304" width="9" style="394"/>
    <col min="2305" max="2305" width="7.42578125" style="394" bestFit="1" customWidth="1"/>
    <col min="2306" max="2306" width="37.42578125" style="394" customWidth="1"/>
    <col min="2307" max="2307" width="14.140625" style="394" customWidth="1"/>
    <col min="2308" max="2308" width="6.140625" style="394" customWidth="1"/>
    <col min="2309" max="2309" width="12.28515625" style="394" customWidth="1"/>
    <col min="2310" max="2310" width="15.42578125" style="394" customWidth="1"/>
    <col min="2311" max="2311" width="10.140625" style="394" customWidth="1"/>
    <col min="2312" max="2312" width="2" style="394" bestFit="1" customWidth="1"/>
    <col min="2313" max="2313" width="39.42578125" style="394" customWidth="1"/>
    <col min="2314" max="2560" width="9" style="394"/>
    <col min="2561" max="2561" width="7.42578125" style="394" bestFit="1" customWidth="1"/>
    <col min="2562" max="2562" width="37.42578125" style="394" customWidth="1"/>
    <col min="2563" max="2563" width="14.140625" style="394" customWidth="1"/>
    <col min="2564" max="2564" width="6.140625" style="394" customWidth="1"/>
    <col min="2565" max="2565" width="12.28515625" style="394" customWidth="1"/>
    <col min="2566" max="2566" width="15.42578125" style="394" customWidth="1"/>
    <col min="2567" max="2567" width="10.140625" style="394" customWidth="1"/>
    <col min="2568" max="2568" width="2" style="394" bestFit="1" customWidth="1"/>
    <col min="2569" max="2569" width="39.42578125" style="394" customWidth="1"/>
    <col min="2570" max="2816" width="9" style="394"/>
    <col min="2817" max="2817" width="7.42578125" style="394" bestFit="1" customWidth="1"/>
    <col min="2818" max="2818" width="37.42578125" style="394" customWidth="1"/>
    <col min="2819" max="2819" width="14.140625" style="394" customWidth="1"/>
    <col min="2820" max="2820" width="6.140625" style="394" customWidth="1"/>
    <col min="2821" max="2821" width="12.28515625" style="394" customWidth="1"/>
    <col min="2822" max="2822" width="15.42578125" style="394" customWidth="1"/>
    <col min="2823" max="2823" width="10.140625" style="394" customWidth="1"/>
    <col min="2824" max="2824" width="2" style="394" bestFit="1" customWidth="1"/>
    <col min="2825" max="2825" width="39.42578125" style="394" customWidth="1"/>
    <col min="2826" max="3072" width="9" style="394"/>
    <col min="3073" max="3073" width="7.42578125" style="394" bestFit="1" customWidth="1"/>
    <col min="3074" max="3074" width="37.42578125" style="394" customWidth="1"/>
    <col min="3075" max="3075" width="14.140625" style="394" customWidth="1"/>
    <col min="3076" max="3076" width="6.140625" style="394" customWidth="1"/>
    <col min="3077" max="3077" width="12.28515625" style="394" customWidth="1"/>
    <col min="3078" max="3078" width="15.42578125" style="394" customWidth="1"/>
    <col min="3079" max="3079" width="10.140625" style="394" customWidth="1"/>
    <col min="3080" max="3080" width="2" style="394" bestFit="1" customWidth="1"/>
    <col min="3081" max="3081" width="39.42578125" style="394" customWidth="1"/>
    <col min="3082" max="3328" width="9" style="394"/>
    <col min="3329" max="3329" width="7.42578125" style="394" bestFit="1" customWidth="1"/>
    <col min="3330" max="3330" width="37.42578125" style="394" customWidth="1"/>
    <col min="3331" max="3331" width="14.140625" style="394" customWidth="1"/>
    <col min="3332" max="3332" width="6.140625" style="394" customWidth="1"/>
    <col min="3333" max="3333" width="12.28515625" style="394" customWidth="1"/>
    <col min="3334" max="3334" width="15.42578125" style="394" customWidth="1"/>
    <col min="3335" max="3335" width="10.140625" style="394" customWidth="1"/>
    <col min="3336" max="3336" width="2" style="394" bestFit="1" customWidth="1"/>
    <col min="3337" max="3337" width="39.42578125" style="394" customWidth="1"/>
    <col min="3338" max="3584" width="9" style="394"/>
    <col min="3585" max="3585" width="7.42578125" style="394" bestFit="1" customWidth="1"/>
    <col min="3586" max="3586" width="37.42578125" style="394" customWidth="1"/>
    <col min="3587" max="3587" width="14.140625" style="394" customWidth="1"/>
    <col min="3588" max="3588" width="6.140625" style="394" customWidth="1"/>
    <col min="3589" max="3589" width="12.28515625" style="394" customWidth="1"/>
    <col min="3590" max="3590" width="15.42578125" style="394" customWidth="1"/>
    <col min="3591" max="3591" width="10.140625" style="394" customWidth="1"/>
    <col min="3592" max="3592" width="2" style="394" bestFit="1" customWidth="1"/>
    <col min="3593" max="3593" width="39.42578125" style="394" customWidth="1"/>
    <col min="3594" max="3840" width="9" style="394"/>
    <col min="3841" max="3841" width="7.42578125" style="394" bestFit="1" customWidth="1"/>
    <col min="3842" max="3842" width="37.42578125" style="394" customWidth="1"/>
    <col min="3843" max="3843" width="14.140625" style="394" customWidth="1"/>
    <col min="3844" max="3844" width="6.140625" style="394" customWidth="1"/>
    <col min="3845" max="3845" width="12.28515625" style="394" customWidth="1"/>
    <col min="3846" max="3846" width="15.42578125" style="394" customWidth="1"/>
    <col min="3847" max="3847" width="10.140625" style="394" customWidth="1"/>
    <col min="3848" max="3848" width="2" style="394" bestFit="1" customWidth="1"/>
    <col min="3849" max="3849" width="39.42578125" style="394" customWidth="1"/>
    <col min="3850" max="4096" width="9" style="394"/>
    <col min="4097" max="4097" width="7.42578125" style="394" bestFit="1" customWidth="1"/>
    <col min="4098" max="4098" width="37.42578125" style="394" customWidth="1"/>
    <col min="4099" max="4099" width="14.140625" style="394" customWidth="1"/>
    <col min="4100" max="4100" width="6.140625" style="394" customWidth="1"/>
    <col min="4101" max="4101" width="12.28515625" style="394" customWidth="1"/>
    <col min="4102" max="4102" width="15.42578125" style="394" customWidth="1"/>
    <col min="4103" max="4103" width="10.140625" style="394" customWidth="1"/>
    <col min="4104" max="4104" width="2" style="394" bestFit="1" customWidth="1"/>
    <col min="4105" max="4105" width="39.42578125" style="394" customWidth="1"/>
    <col min="4106" max="4352" width="9" style="394"/>
    <col min="4353" max="4353" width="7.42578125" style="394" bestFit="1" customWidth="1"/>
    <col min="4354" max="4354" width="37.42578125" style="394" customWidth="1"/>
    <col min="4355" max="4355" width="14.140625" style="394" customWidth="1"/>
    <col min="4356" max="4356" width="6.140625" style="394" customWidth="1"/>
    <col min="4357" max="4357" width="12.28515625" style="394" customWidth="1"/>
    <col min="4358" max="4358" width="15.42578125" style="394" customWidth="1"/>
    <col min="4359" max="4359" width="10.140625" style="394" customWidth="1"/>
    <col min="4360" max="4360" width="2" style="394" bestFit="1" customWidth="1"/>
    <col min="4361" max="4361" width="39.42578125" style="394" customWidth="1"/>
    <col min="4362" max="4608" width="9" style="394"/>
    <col min="4609" max="4609" width="7.42578125" style="394" bestFit="1" customWidth="1"/>
    <col min="4610" max="4610" width="37.42578125" style="394" customWidth="1"/>
    <col min="4611" max="4611" width="14.140625" style="394" customWidth="1"/>
    <col min="4612" max="4612" width="6.140625" style="394" customWidth="1"/>
    <col min="4613" max="4613" width="12.28515625" style="394" customWidth="1"/>
    <col min="4614" max="4614" width="15.42578125" style="394" customWidth="1"/>
    <col min="4615" max="4615" width="10.140625" style="394" customWidth="1"/>
    <col min="4616" max="4616" width="2" style="394" bestFit="1" customWidth="1"/>
    <col min="4617" max="4617" width="39.42578125" style="394" customWidth="1"/>
    <col min="4618" max="4864" width="9" style="394"/>
    <col min="4865" max="4865" width="7.42578125" style="394" bestFit="1" customWidth="1"/>
    <col min="4866" max="4866" width="37.42578125" style="394" customWidth="1"/>
    <col min="4867" max="4867" width="14.140625" style="394" customWidth="1"/>
    <col min="4868" max="4868" width="6.140625" style="394" customWidth="1"/>
    <col min="4869" max="4869" width="12.28515625" style="394" customWidth="1"/>
    <col min="4870" max="4870" width="15.42578125" style="394" customWidth="1"/>
    <col min="4871" max="4871" width="10.140625" style="394" customWidth="1"/>
    <col min="4872" max="4872" width="2" style="394" bestFit="1" customWidth="1"/>
    <col min="4873" max="4873" width="39.42578125" style="394" customWidth="1"/>
    <col min="4874" max="5120" width="9" style="394"/>
    <col min="5121" max="5121" width="7.42578125" style="394" bestFit="1" customWidth="1"/>
    <col min="5122" max="5122" width="37.42578125" style="394" customWidth="1"/>
    <col min="5123" max="5123" width="14.140625" style="394" customWidth="1"/>
    <col min="5124" max="5124" width="6.140625" style="394" customWidth="1"/>
    <col min="5125" max="5125" width="12.28515625" style="394" customWidth="1"/>
    <col min="5126" max="5126" width="15.42578125" style="394" customWidth="1"/>
    <col min="5127" max="5127" width="10.140625" style="394" customWidth="1"/>
    <col min="5128" max="5128" width="2" style="394" bestFit="1" customWidth="1"/>
    <col min="5129" max="5129" width="39.42578125" style="394" customWidth="1"/>
    <col min="5130" max="5376" width="9" style="394"/>
    <col min="5377" max="5377" width="7.42578125" style="394" bestFit="1" customWidth="1"/>
    <col min="5378" max="5378" width="37.42578125" style="394" customWidth="1"/>
    <col min="5379" max="5379" width="14.140625" style="394" customWidth="1"/>
    <col min="5380" max="5380" width="6.140625" style="394" customWidth="1"/>
    <col min="5381" max="5381" width="12.28515625" style="394" customWidth="1"/>
    <col min="5382" max="5382" width="15.42578125" style="394" customWidth="1"/>
    <col min="5383" max="5383" width="10.140625" style="394" customWidth="1"/>
    <col min="5384" max="5384" width="2" style="394" bestFit="1" customWidth="1"/>
    <col min="5385" max="5385" width="39.42578125" style="394" customWidth="1"/>
    <col min="5386" max="5632" width="9" style="394"/>
    <col min="5633" max="5633" width="7.42578125" style="394" bestFit="1" customWidth="1"/>
    <col min="5634" max="5634" width="37.42578125" style="394" customWidth="1"/>
    <col min="5635" max="5635" width="14.140625" style="394" customWidth="1"/>
    <col min="5636" max="5636" width="6.140625" style="394" customWidth="1"/>
    <col min="5637" max="5637" width="12.28515625" style="394" customWidth="1"/>
    <col min="5638" max="5638" width="15.42578125" style="394" customWidth="1"/>
    <col min="5639" max="5639" width="10.140625" style="394" customWidth="1"/>
    <col min="5640" max="5640" width="2" style="394" bestFit="1" customWidth="1"/>
    <col min="5641" max="5641" width="39.42578125" style="394" customWidth="1"/>
    <col min="5642" max="5888" width="9" style="394"/>
    <col min="5889" max="5889" width="7.42578125" style="394" bestFit="1" customWidth="1"/>
    <col min="5890" max="5890" width="37.42578125" style="394" customWidth="1"/>
    <col min="5891" max="5891" width="14.140625" style="394" customWidth="1"/>
    <col min="5892" max="5892" width="6.140625" style="394" customWidth="1"/>
    <col min="5893" max="5893" width="12.28515625" style="394" customWidth="1"/>
    <col min="5894" max="5894" width="15.42578125" style="394" customWidth="1"/>
    <col min="5895" max="5895" width="10.140625" style="394" customWidth="1"/>
    <col min="5896" max="5896" width="2" style="394" bestFit="1" customWidth="1"/>
    <col min="5897" max="5897" width="39.42578125" style="394" customWidth="1"/>
    <col min="5898" max="6144" width="9" style="394"/>
    <col min="6145" max="6145" width="7.42578125" style="394" bestFit="1" customWidth="1"/>
    <col min="6146" max="6146" width="37.42578125" style="394" customWidth="1"/>
    <col min="6147" max="6147" width="14.140625" style="394" customWidth="1"/>
    <col min="6148" max="6148" width="6.140625" style="394" customWidth="1"/>
    <col min="6149" max="6149" width="12.28515625" style="394" customWidth="1"/>
    <col min="6150" max="6150" width="15.42578125" style="394" customWidth="1"/>
    <col min="6151" max="6151" width="10.140625" style="394" customWidth="1"/>
    <col min="6152" max="6152" width="2" style="394" bestFit="1" customWidth="1"/>
    <col min="6153" max="6153" width="39.42578125" style="394" customWidth="1"/>
    <col min="6154" max="6400" width="9" style="394"/>
    <col min="6401" max="6401" width="7.42578125" style="394" bestFit="1" customWidth="1"/>
    <col min="6402" max="6402" width="37.42578125" style="394" customWidth="1"/>
    <col min="6403" max="6403" width="14.140625" style="394" customWidth="1"/>
    <col min="6404" max="6404" width="6.140625" style="394" customWidth="1"/>
    <col min="6405" max="6405" width="12.28515625" style="394" customWidth="1"/>
    <col min="6406" max="6406" width="15.42578125" style="394" customWidth="1"/>
    <col min="6407" max="6407" width="10.140625" style="394" customWidth="1"/>
    <col min="6408" max="6408" width="2" style="394" bestFit="1" customWidth="1"/>
    <col min="6409" max="6409" width="39.42578125" style="394" customWidth="1"/>
    <col min="6410" max="6656" width="9" style="394"/>
    <col min="6657" max="6657" width="7.42578125" style="394" bestFit="1" customWidth="1"/>
    <col min="6658" max="6658" width="37.42578125" style="394" customWidth="1"/>
    <col min="6659" max="6659" width="14.140625" style="394" customWidth="1"/>
    <col min="6660" max="6660" width="6.140625" style="394" customWidth="1"/>
    <col min="6661" max="6661" width="12.28515625" style="394" customWidth="1"/>
    <col min="6662" max="6662" width="15.42578125" style="394" customWidth="1"/>
    <col min="6663" max="6663" width="10.140625" style="394" customWidth="1"/>
    <col min="6664" max="6664" width="2" style="394" bestFit="1" customWidth="1"/>
    <col min="6665" max="6665" width="39.42578125" style="394" customWidth="1"/>
    <col min="6666" max="6912" width="9" style="394"/>
    <col min="6913" max="6913" width="7.42578125" style="394" bestFit="1" customWidth="1"/>
    <col min="6914" max="6914" width="37.42578125" style="394" customWidth="1"/>
    <col min="6915" max="6915" width="14.140625" style="394" customWidth="1"/>
    <col min="6916" max="6916" width="6.140625" style="394" customWidth="1"/>
    <col min="6917" max="6917" width="12.28515625" style="394" customWidth="1"/>
    <col min="6918" max="6918" width="15.42578125" style="394" customWidth="1"/>
    <col min="6919" max="6919" width="10.140625" style="394" customWidth="1"/>
    <col min="6920" max="6920" width="2" style="394" bestFit="1" customWidth="1"/>
    <col min="6921" max="6921" width="39.42578125" style="394" customWidth="1"/>
    <col min="6922" max="7168" width="9" style="394"/>
    <col min="7169" max="7169" width="7.42578125" style="394" bestFit="1" customWidth="1"/>
    <col min="7170" max="7170" width="37.42578125" style="394" customWidth="1"/>
    <col min="7171" max="7171" width="14.140625" style="394" customWidth="1"/>
    <col min="7172" max="7172" width="6.140625" style="394" customWidth="1"/>
    <col min="7173" max="7173" width="12.28515625" style="394" customWidth="1"/>
    <col min="7174" max="7174" width="15.42578125" style="394" customWidth="1"/>
    <col min="7175" max="7175" width="10.140625" style="394" customWidth="1"/>
    <col min="7176" max="7176" width="2" style="394" bestFit="1" customWidth="1"/>
    <col min="7177" max="7177" width="39.42578125" style="394" customWidth="1"/>
    <col min="7178" max="7424" width="9" style="394"/>
    <col min="7425" max="7425" width="7.42578125" style="394" bestFit="1" customWidth="1"/>
    <col min="7426" max="7426" width="37.42578125" style="394" customWidth="1"/>
    <col min="7427" max="7427" width="14.140625" style="394" customWidth="1"/>
    <col min="7428" max="7428" width="6.140625" style="394" customWidth="1"/>
    <col min="7429" max="7429" width="12.28515625" style="394" customWidth="1"/>
    <col min="7430" max="7430" width="15.42578125" style="394" customWidth="1"/>
    <col min="7431" max="7431" width="10.140625" style="394" customWidth="1"/>
    <col min="7432" max="7432" width="2" style="394" bestFit="1" customWidth="1"/>
    <col min="7433" max="7433" width="39.42578125" style="394" customWidth="1"/>
    <col min="7434" max="7680" width="9" style="394"/>
    <col min="7681" max="7681" width="7.42578125" style="394" bestFit="1" customWidth="1"/>
    <col min="7682" max="7682" width="37.42578125" style="394" customWidth="1"/>
    <col min="7683" max="7683" width="14.140625" style="394" customWidth="1"/>
    <col min="7684" max="7684" width="6.140625" style="394" customWidth="1"/>
    <col min="7685" max="7685" width="12.28515625" style="394" customWidth="1"/>
    <col min="7686" max="7686" width="15.42578125" style="394" customWidth="1"/>
    <col min="7687" max="7687" width="10.140625" style="394" customWidth="1"/>
    <col min="7688" max="7688" width="2" style="394" bestFit="1" customWidth="1"/>
    <col min="7689" max="7689" width="39.42578125" style="394" customWidth="1"/>
    <col min="7690" max="7936" width="9" style="394"/>
    <col min="7937" max="7937" width="7.42578125" style="394" bestFit="1" customWidth="1"/>
    <col min="7938" max="7938" width="37.42578125" style="394" customWidth="1"/>
    <col min="7939" max="7939" width="14.140625" style="394" customWidth="1"/>
    <col min="7940" max="7940" width="6.140625" style="394" customWidth="1"/>
    <col min="7941" max="7941" width="12.28515625" style="394" customWidth="1"/>
    <col min="7942" max="7942" width="15.42578125" style="394" customWidth="1"/>
    <col min="7943" max="7943" width="10.140625" style="394" customWidth="1"/>
    <col min="7944" max="7944" width="2" style="394" bestFit="1" customWidth="1"/>
    <col min="7945" max="7945" width="39.42578125" style="394" customWidth="1"/>
    <col min="7946" max="8192" width="9" style="394"/>
    <col min="8193" max="8193" width="7.42578125" style="394" bestFit="1" customWidth="1"/>
    <col min="8194" max="8194" width="37.42578125" style="394" customWidth="1"/>
    <col min="8195" max="8195" width="14.140625" style="394" customWidth="1"/>
    <col min="8196" max="8196" width="6.140625" style="394" customWidth="1"/>
    <col min="8197" max="8197" width="12.28515625" style="394" customWidth="1"/>
    <col min="8198" max="8198" width="15.42578125" style="394" customWidth="1"/>
    <col min="8199" max="8199" width="10.140625" style="394" customWidth="1"/>
    <col min="8200" max="8200" width="2" style="394" bestFit="1" customWidth="1"/>
    <col min="8201" max="8201" width="39.42578125" style="394" customWidth="1"/>
    <col min="8202" max="8448" width="9" style="394"/>
    <col min="8449" max="8449" width="7.42578125" style="394" bestFit="1" customWidth="1"/>
    <col min="8450" max="8450" width="37.42578125" style="394" customWidth="1"/>
    <col min="8451" max="8451" width="14.140625" style="394" customWidth="1"/>
    <col min="8452" max="8452" width="6.140625" style="394" customWidth="1"/>
    <col min="8453" max="8453" width="12.28515625" style="394" customWidth="1"/>
    <col min="8454" max="8454" width="15.42578125" style="394" customWidth="1"/>
    <col min="8455" max="8455" width="10.140625" style="394" customWidth="1"/>
    <col min="8456" max="8456" width="2" style="394" bestFit="1" customWidth="1"/>
    <col min="8457" max="8457" width="39.42578125" style="394" customWidth="1"/>
    <col min="8458" max="8704" width="9" style="394"/>
    <col min="8705" max="8705" width="7.42578125" style="394" bestFit="1" customWidth="1"/>
    <col min="8706" max="8706" width="37.42578125" style="394" customWidth="1"/>
    <col min="8707" max="8707" width="14.140625" style="394" customWidth="1"/>
    <col min="8708" max="8708" width="6.140625" style="394" customWidth="1"/>
    <col min="8709" max="8709" width="12.28515625" style="394" customWidth="1"/>
    <col min="8710" max="8710" width="15.42578125" style="394" customWidth="1"/>
    <col min="8711" max="8711" width="10.140625" style="394" customWidth="1"/>
    <col min="8712" max="8712" width="2" style="394" bestFit="1" customWidth="1"/>
    <col min="8713" max="8713" width="39.42578125" style="394" customWidth="1"/>
    <col min="8714" max="8960" width="9" style="394"/>
    <col min="8961" max="8961" width="7.42578125" style="394" bestFit="1" customWidth="1"/>
    <col min="8962" max="8962" width="37.42578125" style="394" customWidth="1"/>
    <col min="8963" max="8963" width="14.140625" style="394" customWidth="1"/>
    <col min="8964" max="8964" width="6.140625" style="394" customWidth="1"/>
    <col min="8965" max="8965" width="12.28515625" style="394" customWidth="1"/>
    <col min="8966" max="8966" width="15.42578125" style="394" customWidth="1"/>
    <col min="8967" max="8967" width="10.140625" style="394" customWidth="1"/>
    <col min="8968" max="8968" width="2" style="394" bestFit="1" customWidth="1"/>
    <col min="8969" max="8969" width="39.42578125" style="394" customWidth="1"/>
    <col min="8970" max="9216" width="9" style="394"/>
    <col min="9217" max="9217" width="7.42578125" style="394" bestFit="1" customWidth="1"/>
    <col min="9218" max="9218" width="37.42578125" style="394" customWidth="1"/>
    <col min="9219" max="9219" width="14.140625" style="394" customWidth="1"/>
    <col min="9220" max="9220" width="6.140625" style="394" customWidth="1"/>
    <col min="9221" max="9221" width="12.28515625" style="394" customWidth="1"/>
    <col min="9222" max="9222" width="15.42578125" style="394" customWidth="1"/>
    <col min="9223" max="9223" width="10.140625" style="394" customWidth="1"/>
    <col min="9224" max="9224" width="2" style="394" bestFit="1" customWidth="1"/>
    <col min="9225" max="9225" width="39.42578125" style="394" customWidth="1"/>
    <col min="9226" max="9472" width="9" style="394"/>
    <col min="9473" max="9473" width="7.42578125" style="394" bestFit="1" customWidth="1"/>
    <col min="9474" max="9474" width="37.42578125" style="394" customWidth="1"/>
    <col min="9475" max="9475" width="14.140625" style="394" customWidth="1"/>
    <col min="9476" max="9476" width="6.140625" style="394" customWidth="1"/>
    <col min="9477" max="9477" width="12.28515625" style="394" customWidth="1"/>
    <col min="9478" max="9478" width="15.42578125" style="394" customWidth="1"/>
    <col min="9479" max="9479" width="10.140625" style="394" customWidth="1"/>
    <col min="9480" max="9480" width="2" style="394" bestFit="1" customWidth="1"/>
    <col min="9481" max="9481" width="39.42578125" style="394" customWidth="1"/>
    <col min="9482" max="9728" width="9" style="394"/>
    <col min="9729" max="9729" width="7.42578125" style="394" bestFit="1" customWidth="1"/>
    <col min="9730" max="9730" width="37.42578125" style="394" customWidth="1"/>
    <col min="9731" max="9731" width="14.140625" style="394" customWidth="1"/>
    <col min="9732" max="9732" width="6.140625" style="394" customWidth="1"/>
    <col min="9733" max="9733" width="12.28515625" style="394" customWidth="1"/>
    <col min="9734" max="9734" width="15.42578125" style="394" customWidth="1"/>
    <col min="9735" max="9735" width="10.140625" style="394" customWidth="1"/>
    <col min="9736" max="9736" width="2" style="394" bestFit="1" customWidth="1"/>
    <col min="9737" max="9737" width="39.42578125" style="394" customWidth="1"/>
    <col min="9738" max="9984" width="9" style="394"/>
    <col min="9985" max="9985" width="7.42578125" style="394" bestFit="1" customWidth="1"/>
    <col min="9986" max="9986" width="37.42578125" style="394" customWidth="1"/>
    <col min="9987" max="9987" width="14.140625" style="394" customWidth="1"/>
    <col min="9988" max="9988" width="6.140625" style="394" customWidth="1"/>
    <col min="9989" max="9989" width="12.28515625" style="394" customWidth="1"/>
    <col min="9990" max="9990" width="15.42578125" style="394" customWidth="1"/>
    <col min="9991" max="9991" width="10.140625" style="394" customWidth="1"/>
    <col min="9992" max="9992" width="2" style="394" bestFit="1" customWidth="1"/>
    <col min="9993" max="9993" width="39.42578125" style="394" customWidth="1"/>
    <col min="9994" max="10240" width="9" style="394"/>
    <col min="10241" max="10241" width="7.42578125" style="394" bestFit="1" customWidth="1"/>
    <col min="10242" max="10242" width="37.42578125" style="394" customWidth="1"/>
    <col min="10243" max="10243" width="14.140625" style="394" customWidth="1"/>
    <col min="10244" max="10244" width="6.140625" style="394" customWidth="1"/>
    <col min="10245" max="10245" width="12.28515625" style="394" customWidth="1"/>
    <col min="10246" max="10246" width="15.42578125" style="394" customWidth="1"/>
    <col min="10247" max="10247" width="10.140625" style="394" customWidth="1"/>
    <col min="10248" max="10248" width="2" style="394" bestFit="1" customWidth="1"/>
    <col min="10249" max="10249" width="39.42578125" style="394" customWidth="1"/>
    <col min="10250" max="10496" width="9" style="394"/>
    <col min="10497" max="10497" width="7.42578125" style="394" bestFit="1" customWidth="1"/>
    <col min="10498" max="10498" width="37.42578125" style="394" customWidth="1"/>
    <col min="10499" max="10499" width="14.140625" style="394" customWidth="1"/>
    <col min="10500" max="10500" width="6.140625" style="394" customWidth="1"/>
    <col min="10501" max="10501" width="12.28515625" style="394" customWidth="1"/>
    <col min="10502" max="10502" width="15.42578125" style="394" customWidth="1"/>
    <col min="10503" max="10503" width="10.140625" style="394" customWidth="1"/>
    <col min="10504" max="10504" width="2" style="394" bestFit="1" customWidth="1"/>
    <col min="10505" max="10505" width="39.42578125" style="394" customWidth="1"/>
    <col min="10506" max="10752" width="9" style="394"/>
    <col min="10753" max="10753" width="7.42578125" style="394" bestFit="1" customWidth="1"/>
    <col min="10754" max="10754" width="37.42578125" style="394" customWidth="1"/>
    <col min="10755" max="10755" width="14.140625" style="394" customWidth="1"/>
    <col min="10756" max="10756" width="6.140625" style="394" customWidth="1"/>
    <col min="10757" max="10757" width="12.28515625" style="394" customWidth="1"/>
    <col min="10758" max="10758" width="15.42578125" style="394" customWidth="1"/>
    <col min="10759" max="10759" width="10.140625" style="394" customWidth="1"/>
    <col min="10760" max="10760" width="2" style="394" bestFit="1" customWidth="1"/>
    <col min="10761" max="10761" width="39.42578125" style="394" customWidth="1"/>
    <col min="10762" max="11008" width="9" style="394"/>
    <col min="11009" max="11009" width="7.42578125" style="394" bestFit="1" customWidth="1"/>
    <col min="11010" max="11010" width="37.42578125" style="394" customWidth="1"/>
    <col min="11011" max="11011" width="14.140625" style="394" customWidth="1"/>
    <col min="11012" max="11012" width="6.140625" style="394" customWidth="1"/>
    <col min="11013" max="11013" width="12.28515625" style="394" customWidth="1"/>
    <col min="11014" max="11014" width="15.42578125" style="394" customWidth="1"/>
    <col min="11015" max="11015" width="10.140625" style="394" customWidth="1"/>
    <col min="11016" max="11016" width="2" style="394" bestFit="1" customWidth="1"/>
    <col min="11017" max="11017" width="39.42578125" style="394" customWidth="1"/>
    <col min="11018" max="11264" width="9" style="394"/>
    <col min="11265" max="11265" width="7.42578125" style="394" bestFit="1" customWidth="1"/>
    <col min="11266" max="11266" width="37.42578125" style="394" customWidth="1"/>
    <col min="11267" max="11267" width="14.140625" style="394" customWidth="1"/>
    <col min="11268" max="11268" width="6.140625" style="394" customWidth="1"/>
    <col min="11269" max="11269" width="12.28515625" style="394" customWidth="1"/>
    <col min="11270" max="11270" width="15.42578125" style="394" customWidth="1"/>
    <col min="11271" max="11271" width="10.140625" style="394" customWidth="1"/>
    <col min="11272" max="11272" width="2" style="394" bestFit="1" customWidth="1"/>
    <col min="11273" max="11273" width="39.42578125" style="394" customWidth="1"/>
    <col min="11274" max="11520" width="9" style="394"/>
    <col min="11521" max="11521" width="7.42578125" style="394" bestFit="1" customWidth="1"/>
    <col min="11522" max="11522" width="37.42578125" style="394" customWidth="1"/>
    <col min="11523" max="11523" width="14.140625" style="394" customWidth="1"/>
    <col min="11524" max="11524" width="6.140625" style="394" customWidth="1"/>
    <col min="11525" max="11525" width="12.28515625" style="394" customWidth="1"/>
    <col min="11526" max="11526" width="15.42578125" style="394" customWidth="1"/>
    <col min="11527" max="11527" width="10.140625" style="394" customWidth="1"/>
    <col min="11528" max="11528" width="2" style="394" bestFit="1" customWidth="1"/>
    <col min="11529" max="11529" width="39.42578125" style="394" customWidth="1"/>
    <col min="11530" max="11776" width="9" style="394"/>
    <col min="11777" max="11777" width="7.42578125" style="394" bestFit="1" customWidth="1"/>
    <col min="11778" max="11778" width="37.42578125" style="394" customWidth="1"/>
    <col min="11779" max="11779" width="14.140625" style="394" customWidth="1"/>
    <col min="11780" max="11780" width="6.140625" style="394" customWidth="1"/>
    <col min="11781" max="11781" width="12.28515625" style="394" customWidth="1"/>
    <col min="11782" max="11782" width="15.42578125" style="394" customWidth="1"/>
    <col min="11783" max="11783" width="10.140625" style="394" customWidth="1"/>
    <col min="11784" max="11784" width="2" style="394" bestFit="1" customWidth="1"/>
    <col min="11785" max="11785" width="39.42578125" style="394" customWidth="1"/>
    <col min="11786" max="12032" width="9" style="394"/>
    <col min="12033" max="12033" width="7.42578125" style="394" bestFit="1" customWidth="1"/>
    <col min="12034" max="12034" width="37.42578125" style="394" customWidth="1"/>
    <col min="12035" max="12035" width="14.140625" style="394" customWidth="1"/>
    <col min="12036" max="12036" width="6.140625" style="394" customWidth="1"/>
    <col min="12037" max="12037" width="12.28515625" style="394" customWidth="1"/>
    <col min="12038" max="12038" width="15.42578125" style="394" customWidth="1"/>
    <col min="12039" max="12039" width="10.140625" style="394" customWidth="1"/>
    <col min="12040" max="12040" width="2" style="394" bestFit="1" customWidth="1"/>
    <col min="12041" max="12041" width="39.42578125" style="394" customWidth="1"/>
    <col min="12042" max="12288" width="9" style="394"/>
    <col min="12289" max="12289" width="7.42578125" style="394" bestFit="1" customWidth="1"/>
    <col min="12290" max="12290" width="37.42578125" style="394" customWidth="1"/>
    <col min="12291" max="12291" width="14.140625" style="394" customWidth="1"/>
    <col min="12292" max="12292" width="6.140625" style="394" customWidth="1"/>
    <col min="12293" max="12293" width="12.28515625" style="394" customWidth="1"/>
    <col min="12294" max="12294" width="15.42578125" style="394" customWidth="1"/>
    <col min="12295" max="12295" width="10.140625" style="394" customWidth="1"/>
    <col min="12296" max="12296" width="2" style="394" bestFit="1" customWidth="1"/>
    <col min="12297" max="12297" width="39.42578125" style="394" customWidth="1"/>
    <col min="12298" max="12544" width="9" style="394"/>
    <col min="12545" max="12545" width="7.42578125" style="394" bestFit="1" customWidth="1"/>
    <col min="12546" max="12546" width="37.42578125" style="394" customWidth="1"/>
    <col min="12547" max="12547" width="14.140625" style="394" customWidth="1"/>
    <col min="12548" max="12548" width="6.140625" style="394" customWidth="1"/>
    <col min="12549" max="12549" width="12.28515625" style="394" customWidth="1"/>
    <col min="12550" max="12550" width="15.42578125" style="394" customWidth="1"/>
    <col min="12551" max="12551" width="10.140625" style="394" customWidth="1"/>
    <col min="12552" max="12552" width="2" style="394" bestFit="1" customWidth="1"/>
    <col min="12553" max="12553" width="39.42578125" style="394" customWidth="1"/>
    <col min="12554" max="12800" width="9" style="394"/>
    <col min="12801" max="12801" width="7.42578125" style="394" bestFit="1" customWidth="1"/>
    <col min="12802" max="12802" width="37.42578125" style="394" customWidth="1"/>
    <col min="12803" max="12803" width="14.140625" style="394" customWidth="1"/>
    <col min="12804" max="12804" width="6.140625" style="394" customWidth="1"/>
    <col min="12805" max="12805" width="12.28515625" style="394" customWidth="1"/>
    <col min="12806" max="12806" width="15.42578125" style="394" customWidth="1"/>
    <col min="12807" max="12807" width="10.140625" style="394" customWidth="1"/>
    <col min="12808" max="12808" width="2" style="394" bestFit="1" customWidth="1"/>
    <col min="12809" max="12809" width="39.42578125" style="394" customWidth="1"/>
    <col min="12810" max="13056" width="9" style="394"/>
    <col min="13057" max="13057" width="7.42578125" style="394" bestFit="1" customWidth="1"/>
    <col min="13058" max="13058" width="37.42578125" style="394" customWidth="1"/>
    <col min="13059" max="13059" width="14.140625" style="394" customWidth="1"/>
    <col min="13060" max="13060" width="6.140625" style="394" customWidth="1"/>
    <col min="13061" max="13061" width="12.28515625" style="394" customWidth="1"/>
    <col min="13062" max="13062" width="15.42578125" style="394" customWidth="1"/>
    <col min="13063" max="13063" width="10.140625" style="394" customWidth="1"/>
    <col min="13064" max="13064" width="2" style="394" bestFit="1" customWidth="1"/>
    <col min="13065" max="13065" width="39.42578125" style="394" customWidth="1"/>
    <col min="13066" max="13312" width="9" style="394"/>
    <col min="13313" max="13313" width="7.42578125" style="394" bestFit="1" customWidth="1"/>
    <col min="13314" max="13314" width="37.42578125" style="394" customWidth="1"/>
    <col min="13315" max="13315" width="14.140625" style="394" customWidth="1"/>
    <col min="13316" max="13316" width="6.140625" style="394" customWidth="1"/>
    <col min="13317" max="13317" width="12.28515625" style="394" customWidth="1"/>
    <col min="13318" max="13318" width="15.42578125" style="394" customWidth="1"/>
    <col min="13319" max="13319" width="10.140625" style="394" customWidth="1"/>
    <col min="13320" max="13320" width="2" style="394" bestFit="1" customWidth="1"/>
    <col min="13321" max="13321" width="39.42578125" style="394" customWidth="1"/>
    <col min="13322" max="13568" width="9" style="394"/>
    <col min="13569" max="13569" width="7.42578125" style="394" bestFit="1" customWidth="1"/>
    <col min="13570" max="13570" width="37.42578125" style="394" customWidth="1"/>
    <col min="13571" max="13571" width="14.140625" style="394" customWidth="1"/>
    <col min="13572" max="13572" width="6.140625" style="394" customWidth="1"/>
    <col min="13573" max="13573" width="12.28515625" style="394" customWidth="1"/>
    <col min="13574" max="13574" width="15.42578125" style="394" customWidth="1"/>
    <col min="13575" max="13575" width="10.140625" style="394" customWidth="1"/>
    <col min="13576" max="13576" width="2" style="394" bestFit="1" customWidth="1"/>
    <col min="13577" max="13577" width="39.42578125" style="394" customWidth="1"/>
    <col min="13578" max="13824" width="9" style="394"/>
    <col min="13825" max="13825" width="7.42578125" style="394" bestFit="1" customWidth="1"/>
    <col min="13826" max="13826" width="37.42578125" style="394" customWidth="1"/>
    <col min="13827" max="13827" width="14.140625" style="394" customWidth="1"/>
    <col min="13828" max="13828" width="6.140625" style="394" customWidth="1"/>
    <col min="13829" max="13829" width="12.28515625" style="394" customWidth="1"/>
    <col min="13830" max="13830" width="15.42578125" style="394" customWidth="1"/>
    <col min="13831" max="13831" width="10.140625" style="394" customWidth="1"/>
    <col min="13832" max="13832" width="2" style="394" bestFit="1" customWidth="1"/>
    <col min="13833" max="13833" width="39.42578125" style="394" customWidth="1"/>
    <col min="13834" max="14080" width="9" style="394"/>
    <col min="14081" max="14081" width="7.42578125" style="394" bestFit="1" customWidth="1"/>
    <col min="14082" max="14082" width="37.42578125" style="394" customWidth="1"/>
    <col min="14083" max="14083" width="14.140625" style="394" customWidth="1"/>
    <col min="14084" max="14084" width="6.140625" style="394" customWidth="1"/>
    <col min="14085" max="14085" width="12.28515625" style="394" customWidth="1"/>
    <col min="14086" max="14086" width="15.42578125" style="394" customWidth="1"/>
    <col min="14087" max="14087" width="10.140625" style="394" customWidth="1"/>
    <col min="14088" max="14088" width="2" style="394" bestFit="1" customWidth="1"/>
    <col min="14089" max="14089" width="39.42578125" style="394" customWidth="1"/>
    <col min="14090" max="14336" width="9" style="394"/>
    <col min="14337" max="14337" width="7.42578125" style="394" bestFit="1" customWidth="1"/>
    <col min="14338" max="14338" width="37.42578125" style="394" customWidth="1"/>
    <col min="14339" max="14339" width="14.140625" style="394" customWidth="1"/>
    <col min="14340" max="14340" width="6.140625" style="394" customWidth="1"/>
    <col min="14341" max="14341" width="12.28515625" style="394" customWidth="1"/>
    <col min="14342" max="14342" width="15.42578125" style="394" customWidth="1"/>
    <col min="14343" max="14343" width="10.140625" style="394" customWidth="1"/>
    <col min="14344" max="14344" width="2" style="394" bestFit="1" customWidth="1"/>
    <col min="14345" max="14345" width="39.42578125" style="394" customWidth="1"/>
    <col min="14346" max="14592" width="9" style="394"/>
    <col min="14593" max="14593" width="7.42578125" style="394" bestFit="1" customWidth="1"/>
    <col min="14594" max="14594" width="37.42578125" style="394" customWidth="1"/>
    <col min="14595" max="14595" width="14.140625" style="394" customWidth="1"/>
    <col min="14596" max="14596" width="6.140625" style="394" customWidth="1"/>
    <col min="14597" max="14597" width="12.28515625" style="394" customWidth="1"/>
    <col min="14598" max="14598" width="15.42578125" style="394" customWidth="1"/>
    <col min="14599" max="14599" width="10.140625" style="394" customWidth="1"/>
    <col min="14600" max="14600" width="2" style="394" bestFit="1" customWidth="1"/>
    <col min="14601" max="14601" width="39.42578125" style="394" customWidth="1"/>
    <col min="14602" max="14848" width="9" style="394"/>
    <col min="14849" max="14849" width="7.42578125" style="394" bestFit="1" customWidth="1"/>
    <col min="14850" max="14850" width="37.42578125" style="394" customWidth="1"/>
    <col min="14851" max="14851" width="14.140625" style="394" customWidth="1"/>
    <col min="14852" max="14852" width="6.140625" style="394" customWidth="1"/>
    <col min="14853" max="14853" width="12.28515625" style="394" customWidth="1"/>
    <col min="14854" max="14854" width="15.42578125" style="394" customWidth="1"/>
    <col min="14855" max="14855" width="10.140625" style="394" customWidth="1"/>
    <col min="14856" max="14856" width="2" style="394" bestFit="1" customWidth="1"/>
    <col min="14857" max="14857" width="39.42578125" style="394" customWidth="1"/>
    <col min="14858" max="15104" width="9" style="394"/>
    <col min="15105" max="15105" width="7.42578125" style="394" bestFit="1" customWidth="1"/>
    <col min="15106" max="15106" width="37.42578125" style="394" customWidth="1"/>
    <col min="15107" max="15107" width="14.140625" style="394" customWidth="1"/>
    <col min="15108" max="15108" width="6.140625" style="394" customWidth="1"/>
    <col min="15109" max="15109" width="12.28515625" style="394" customWidth="1"/>
    <col min="15110" max="15110" width="15.42578125" style="394" customWidth="1"/>
    <col min="15111" max="15111" width="10.140625" style="394" customWidth="1"/>
    <col min="15112" max="15112" width="2" style="394" bestFit="1" customWidth="1"/>
    <col min="15113" max="15113" width="39.42578125" style="394" customWidth="1"/>
    <col min="15114" max="15360" width="9" style="394"/>
    <col min="15361" max="15361" width="7.42578125" style="394" bestFit="1" customWidth="1"/>
    <col min="15362" max="15362" width="37.42578125" style="394" customWidth="1"/>
    <col min="15363" max="15363" width="14.140625" style="394" customWidth="1"/>
    <col min="15364" max="15364" width="6.140625" style="394" customWidth="1"/>
    <col min="15365" max="15365" width="12.28515625" style="394" customWidth="1"/>
    <col min="15366" max="15366" width="15.42578125" style="394" customWidth="1"/>
    <col min="15367" max="15367" width="10.140625" style="394" customWidth="1"/>
    <col min="15368" max="15368" width="2" style="394" bestFit="1" customWidth="1"/>
    <col min="15369" max="15369" width="39.42578125" style="394" customWidth="1"/>
    <col min="15370" max="15616" width="9" style="394"/>
    <col min="15617" max="15617" width="7.42578125" style="394" bestFit="1" customWidth="1"/>
    <col min="15618" max="15618" width="37.42578125" style="394" customWidth="1"/>
    <col min="15619" max="15619" width="14.140625" style="394" customWidth="1"/>
    <col min="15620" max="15620" width="6.140625" style="394" customWidth="1"/>
    <col min="15621" max="15621" width="12.28515625" style="394" customWidth="1"/>
    <col min="15622" max="15622" width="15.42578125" style="394" customWidth="1"/>
    <col min="15623" max="15623" width="10.140625" style="394" customWidth="1"/>
    <col min="15624" max="15624" width="2" style="394" bestFit="1" customWidth="1"/>
    <col min="15625" max="15625" width="39.42578125" style="394" customWidth="1"/>
    <col min="15626" max="15872" width="9" style="394"/>
    <col min="15873" max="15873" width="7.42578125" style="394" bestFit="1" customWidth="1"/>
    <col min="15874" max="15874" width="37.42578125" style="394" customWidth="1"/>
    <col min="15875" max="15875" width="14.140625" style="394" customWidth="1"/>
    <col min="15876" max="15876" width="6.140625" style="394" customWidth="1"/>
    <col min="15877" max="15877" width="12.28515625" style="394" customWidth="1"/>
    <col min="15878" max="15878" width="15.42578125" style="394" customWidth="1"/>
    <col min="15879" max="15879" width="10.140625" style="394" customWidth="1"/>
    <col min="15880" max="15880" width="2" style="394" bestFit="1" customWidth="1"/>
    <col min="15881" max="15881" width="39.42578125" style="394" customWidth="1"/>
    <col min="15882" max="16128" width="9" style="394"/>
    <col min="16129" max="16129" width="7.42578125" style="394" bestFit="1" customWidth="1"/>
    <col min="16130" max="16130" width="37.42578125" style="394" customWidth="1"/>
    <col min="16131" max="16131" width="14.140625" style="394" customWidth="1"/>
    <col min="16132" max="16132" width="6.140625" style="394" customWidth="1"/>
    <col min="16133" max="16133" width="12.28515625" style="394" customWidth="1"/>
    <col min="16134" max="16134" width="15.42578125" style="394" customWidth="1"/>
    <col min="16135" max="16135" width="10.140625" style="394" customWidth="1"/>
    <col min="16136" max="16136" width="2" style="394" bestFit="1" customWidth="1"/>
    <col min="16137" max="16137" width="39.42578125" style="394" customWidth="1"/>
    <col min="16138" max="16384" width="9" style="394"/>
  </cols>
  <sheetData>
    <row r="1" spans="1:8" s="342" customFormat="1" ht="25.5">
      <c r="A1" s="337"/>
      <c r="B1" s="338" t="s">
        <v>241</v>
      </c>
      <c r="C1" s="463" t="s">
        <v>242</v>
      </c>
      <c r="D1" s="340" t="s">
        <v>243</v>
      </c>
      <c r="E1" s="339" t="s">
        <v>244</v>
      </c>
      <c r="F1" s="341" t="s">
        <v>245</v>
      </c>
    </row>
    <row r="2" spans="1:8" s="346" customFormat="1">
      <c r="A2" s="343"/>
      <c r="B2" s="344"/>
      <c r="C2" s="454"/>
      <c r="E2" s="345"/>
      <c r="F2" s="347"/>
    </row>
    <row r="3" spans="1:8" s="350" customFormat="1">
      <c r="A3" s="348" t="s">
        <v>179</v>
      </c>
      <c r="B3" s="349" t="s">
        <v>178</v>
      </c>
      <c r="C3" s="464"/>
      <c r="F3" s="351"/>
    </row>
    <row r="4" spans="1:8" s="352" customFormat="1">
      <c r="A4" s="343"/>
      <c r="B4" s="349"/>
      <c r="C4" s="465"/>
      <c r="F4" s="353"/>
    </row>
    <row r="5" spans="1:8" s="352" customFormat="1">
      <c r="A5" s="354" t="s">
        <v>246</v>
      </c>
      <c r="B5" s="355" t="s">
        <v>247</v>
      </c>
      <c r="C5" s="465"/>
      <c r="F5" s="353"/>
    </row>
    <row r="6" spans="1:8" s="346" customFormat="1">
      <c r="A6" s="343"/>
      <c r="B6" s="344"/>
      <c r="C6" s="466"/>
      <c r="F6" s="347"/>
    </row>
    <row r="7" spans="1:8" s="346" customFormat="1" ht="25.5">
      <c r="A7" s="343" t="s">
        <v>248</v>
      </c>
      <c r="B7" s="344" t="s">
        <v>249</v>
      </c>
      <c r="C7" s="466"/>
      <c r="F7" s="347"/>
    </row>
    <row r="8" spans="1:8" s="346" customFormat="1">
      <c r="A8" s="343"/>
      <c r="B8" s="344"/>
      <c r="C8" s="454">
        <f>K80+K82</f>
        <v>20.71</v>
      </c>
      <c r="D8" s="346" t="s">
        <v>115</v>
      </c>
      <c r="E8" s="356"/>
      <c r="F8" s="357">
        <f>C8*E8</f>
        <v>0</v>
      </c>
      <c r="G8" s="345"/>
      <c r="H8" s="345"/>
    </row>
    <row r="9" spans="1:8" s="346" customFormat="1">
      <c r="A9" s="343"/>
      <c r="B9" s="344"/>
      <c r="C9" s="456"/>
      <c r="E9" s="356"/>
      <c r="F9" s="357"/>
      <c r="G9" s="345"/>
      <c r="H9" s="345"/>
    </row>
    <row r="10" spans="1:8" s="352" customFormat="1">
      <c r="A10" s="354" t="s">
        <v>246</v>
      </c>
      <c r="B10" s="355" t="s">
        <v>250</v>
      </c>
      <c r="C10" s="455"/>
      <c r="E10" s="360"/>
      <c r="F10" s="361">
        <f>SUM(F7:F9)</f>
        <v>0</v>
      </c>
      <c r="G10" s="345"/>
    </row>
    <row r="11" spans="1:8" s="352" customFormat="1">
      <c r="A11" s="354"/>
      <c r="B11" s="355"/>
      <c r="C11" s="455"/>
      <c r="E11" s="360"/>
      <c r="F11" s="361"/>
      <c r="G11" s="345"/>
    </row>
    <row r="12" spans="1:8" s="352" customFormat="1">
      <c r="A12" s="354"/>
      <c r="B12" s="355"/>
      <c r="C12" s="455"/>
      <c r="E12" s="360"/>
      <c r="F12" s="361"/>
      <c r="G12" s="345"/>
    </row>
    <row r="13" spans="1:8" s="352" customFormat="1" ht="25.5">
      <c r="A13" s="354" t="s">
        <v>251</v>
      </c>
      <c r="B13" s="355" t="s">
        <v>815</v>
      </c>
      <c r="C13" s="455"/>
      <c r="E13" s="360"/>
      <c r="F13" s="361"/>
      <c r="G13" s="345"/>
    </row>
    <row r="14" spans="1:8" s="346" customFormat="1">
      <c r="A14" s="364"/>
      <c r="B14" s="344"/>
      <c r="C14" s="454"/>
      <c r="E14" s="356"/>
      <c r="F14" s="357"/>
      <c r="G14" s="345"/>
      <c r="H14" s="345"/>
    </row>
    <row r="15" spans="1:8" s="346" customFormat="1" ht="38.25">
      <c r="A15" s="364" t="s">
        <v>253</v>
      </c>
      <c r="B15" s="344" t="s">
        <v>254</v>
      </c>
      <c r="C15" s="454"/>
      <c r="E15" s="356"/>
      <c r="F15" s="357"/>
      <c r="G15" s="345"/>
      <c r="H15" s="345"/>
    </row>
    <row r="16" spans="1:8" s="346" customFormat="1">
      <c r="A16" s="364"/>
      <c r="B16" s="344"/>
      <c r="C16" s="454">
        <f>ROUND(C8/20,0)</f>
        <v>1</v>
      </c>
      <c r="D16" s="346" t="s">
        <v>5</v>
      </c>
      <c r="E16" s="356"/>
      <c r="F16" s="357">
        <f>C16*E16</f>
        <v>0</v>
      </c>
      <c r="G16" s="345"/>
      <c r="H16" s="345"/>
    </row>
    <row r="17" spans="1:256" s="352" customFormat="1">
      <c r="A17" s="354" t="s">
        <v>252</v>
      </c>
      <c r="B17" s="355" t="s">
        <v>256</v>
      </c>
      <c r="C17" s="455"/>
      <c r="E17" s="360"/>
      <c r="F17" s="361">
        <f>SUM(F14:F16)</f>
        <v>0</v>
      </c>
      <c r="G17" s="345"/>
    </row>
    <row r="18" spans="1:256" s="374" customFormat="1">
      <c r="A18" s="367"/>
      <c r="B18" s="368"/>
      <c r="C18" s="467"/>
      <c r="D18" s="370"/>
      <c r="E18" s="371"/>
      <c r="F18" s="372"/>
      <c r="G18" s="345"/>
      <c r="H18" s="373"/>
    </row>
    <row r="19" spans="1:256" s="350" customFormat="1">
      <c r="A19" s="348" t="s">
        <v>179</v>
      </c>
      <c r="B19" s="349" t="s">
        <v>257</v>
      </c>
      <c r="C19" s="468"/>
      <c r="E19" s="376"/>
      <c r="F19" s="377">
        <f>F17+F10</f>
        <v>0</v>
      </c>
      <c r="G19" s="345"/>
    </row>
    <row r="20" spans="1:256" s="346" customFormat="1">
      <c r="A20" s="343"/>
      <c r="B20" s="378"/>
      <c r="C20" s="456"/>
      <c r="D20" s="379"/>
      <c r="E20" s="356"/>
      <c r="F20" s="380"/>
      <c r="G20" s="345"/>
      <c r="H20" s="345"/>
    </row>
    <row r="21" spans="1:256" s="350" customFormat="1">
      <c r="A21" s="348" t="s">
        <v>177</v>
      </c>
      <c r="B21" s="349" t="s">
        <v>176</v>
      </c>
      <c r="C21" s="468"/>
      <c r="E21" s="376"/>
      <c r="F21" s="377"/>
      <c r="G21" s="381"/>
    </row>
    <row r="22" spans="1:256" s="389" customFormat="1" ht="11.25">
      <c r="A22" s="382"/>
      <c r="B22" s="383"/>
      <c r="C22" s="469"/>
      <c r="D22" s="385"/>
      <c r="E22" s="386"/>
      <c r="F22" s="387"/>
      <c r="G22" s="381"/>
      <c r="H22" s="388"/>
    </row>
    <row r="23" spans="1:256" s="390" customFormat="1">
      <c r="A23" s="354" t="s">
        <v>258</v>
      </c>
      <c r="B23" s="355" t="s">
        <v>470</v>
      </c>
      <c r="C23" s="455"/>
      <c r="D23" s="352"/>
      <c r="E23" s="360"/>
      <c r="F23" s="361"/>
      <c r="G23" s="381"/>
      <c r="IV23" s="391"/>
    </row>
    <row r="24" spans="1:256" s="390" customFormat="1">
      <c r="A24" s="354"/>
      <c r="B24" s="355"/>
      <c r="C24" s="455"/>
      <c r="D24" s="352"/>
      <c r="E24" s="360"/>
      <c r="F24" s="361"/>
      <c r="G24" s="381"/>
      <c r="J24" s="390" t="s">
        <v>221</v>
      </c>
      <c r="K24" s="390" t="s">
        <v>222</v>
      </c>
      <c r="L24" s="390" t="s">
        <v>223</v>
      </c>
      <c r="M24" s="390" t="s">
        <v>224</v>
      </c>
      <c r="N24" s="390" t="s">
        <v>225</v>
      </c>
      <c r="O24" s="390" t="s">
        <v>226</v>
      </c>
      <c r="P24" s="390" t="s">
        <v>227</v>
      </c>
      <c r="Q24" s="390" t="s">
        <v>228</v>
      </c>
      <c r="R24" s="390" t="s">
        <v>229</v>
      </c>
      <c r="S24" s="390" t="s">
        <v>230</v>
      </c>
      <c r="T24" s="390" t="s">
        <v>231</v>
      </c>
      <c r="U24" s="390" t="s">
        <v>232</v>
      </c>
      <c r="V24" s="390" t="s">
        <v>233</v>
      </c>
      <c r="W24" s="390" t="s">
        <v>234</v>
      </c>
      <c r="X24" s="390" t="s">
        <v>235</v>
      </c>
      <c r="Y24" s="390" t="s">
        <v>236</v>
      </c>
      <c r="Z24" s="390" t="s">
        <v>237</v>
      </c>
      <c r="IV24" s="391"/>
    </row>
    <row r="25" spans="1:256" s="390" customFormat="1" ht="38.25">
      <c r="A25" s="392"/>
      <c r="B25" s="393" t="s">
        <v>260</v>
      </c>
      <c r="C25" s="456"/>
      <c r="D25" s="346"/>
      <c r="E25" s="356"/>
      <c r="F25" s="357"/>
      <c r="G25" s="381"/>
      <c r="J25" s="390" t="s">
        <v>314</v>
      </c>
      <c r="K25" s="430"/>
      <c r="L25" s="430">
        <v>0</v>
      </c>
      <c r="M25" s="430">
        <v>0</v>
      </c>
      <c r="N25" s="430">
        <v>0</v>
      </c>
      <c r="O25" s="430">
        <v>260.8</v>
      </c>
      <c r="P25" s="430">
        <v>244.78</v>
      </c>
      <c r="Q25" s="430">
        <v>16.02</v>
      </c>
      <c r="R25" s="430">
        <v>0</v>
      </c>
      <c r="S25" s="430">
        <v>0</v>
      </c>
      <c r="T25" s="430">
        <v>0</v>
      </c>
      <c r="U25" s="430">
        <v>260.14999999999998</v>
      </c>
      <c r="V25" s="430">
        <v>220.73</v>
      </c>
      <c r="W25" s="430">
        <v>0</v>
      </c>
      <c r="X25" s="430">
        <v>31.94</v>
      </c>
      <c r="Y25" s="430">
        <v>7.48</v>
      </c>
      <c r="Z25" s="430">
        <v>220.73</v>
      </c>
      <c r="IV25" s="391"/>
    </row>
    <row r="26" spans="1:256" s="390" customFormat="1">
      <c r="A26" s="364"/>
      <c r="B26" s="393" t="s">
        <v>261</v>
      </c>
      <c r="C26" s="454">
        <f>C8*1</f>
        <v>20.71</v>
      </c>
      <c r="D26" s="346"/>
      <c r="E26" s="356"/>
      <c r="F26" s="357"/>
      <c r="G26" s="381"/>
      <c r="J26" s="390" t="s">
        <v>305</v>
      </c>
      <c r="K26" s="430"/>
      <c r="L26" s="430">
        <v>0</v>
      </c>
      <c r="M26" s="430">
        <v>0</v>
      </c>
      <c r="N26" s="430">
        <v>0</v>
      </c>
      <c r="O26" s="430">
        <v>235.53</v>
      </c>
      <c r="P26" s="430">
        <v>219.5</v>
      </c>
      <c r="Q26" s="430">
        <v>16.02</v>
      </c>
      <c r="R26" s="430">
        <v>0</v>
      </c>
      <c r="S26" s="430">
        <v>0</v>
      </c>
      <c r="T26" s="430">
        <v>0</v>
      </c>
      <c r="U26" s="430">
        <v>234.89</v>
      </c>
      <c r="V26" s="430">
        <v>202.54</v>
      </c>
      <c r="W26" s="430">
        <v>0</v>
      </c>
      <c r="X26" s="430">
        <v>26.25</v>
      </c>
      <c r="Y26" s="430">
        <v>6.1</v>
      </c>
      <c r="Z26" s="430">
        <v>202.54</v>
      </c>
      <c r="IV26" s="391"/>
    </row>
    <row r="27" spans="1:256" s="390" customFormat="1">
      <c r="A27" s="364" t="s">
        <v>262</v>
      </c>
      <c r="B27" s="393" t="s">
        <v>263</v>
      </c>
      <c r="C27" s="454">
        <f>C26*0.8</f>
        <v>16.568000000000001</v>
      </c>
      <c r="D27" s="394" t="s">
        <v>108</v>
      </c>
      <c r="E27" s="356"/>
      <c r="F27" s="357">
        <f>C27*E27</f>
        <v>0</v>
      </c>
      <c r="G27" s="381"/>
      <c r="J27" s="390" t="s">
        <v>307</v>
      </c>
      <c r="K27" s="430"/>
      <c r="L27" s="430">
        <v>0</v>
      </c>
      <c r="M27" s="430">
        <v>0</v>
      </c>
      <c r="N27" s="430">
        <v>0</v>
      </c>
      <c r="O27" s="430">
        <v>0</v>
      </c>
      <c r="P27" s="430">
        <v>0</v>
      </c>
      <c r="Q27" s="430">
        <v>0</v>
      </c>
      <c r="R27" s="430">
        <v>0</v>
      </c>
      <c r="S27" s="430">
        <v>0</v>
      </c>
      <c r="T27" s="430">
        <v>0</v>
      </c>
      <c r="U27" s="430">
        <v>0</v>
      </c>
      <c r="V27" s="430">
        <v>0</v>
      </c>
      <c r="W27" s="430">
        <v>0</v>
      </c>
      <c r="X27" s="430">
        <v>0</v>
      </c>
      <c r="Y27" s="430">
        <v>0</v>
      </c>
      <c r="Z27" s="430">
        <v>0</v>
      </c>
      <c r="IV27" s="391"/>
    </row>
    <row r="28" spans="1:256" s="390" customFormat="1">
      <c r="A28" s="364" t="s">
        <v>264</v>
      </c>
      <c r="B28" s="393" t="s">
        <v>265</v>
      </c>
      <c r="C28" s="454">
        <f>C26*0.2</f>
        <v>4.1420000000000003</v>
      </c>
      <c r="D28" s="394" t="s">
        <v>108</v>
      </c>
      <c r="E28" s="356"/>
      <c r="F28" s="357">
        <f>C28*E28</f>
        <v>0</v>
      </c>
      <c r="G28" s="381"/>
      <c r="J28" s="390" t="s">
        <v>309</v>
      </c>
      <c r="K28" s="430"/>
      <c r="L28" s="430">
        <v>0</v>
      </c>
      <c r="M28" s="430">
        <v>0</v>
      </c>
      <c r="N28" s="430">
        <v>0</v>
      </c>
      <c r="O28" s="430">
        <v>6.84</v>
      </c>
      <c r="P28" s="430">
        <v>6.84</v>
      </c>
      <c r="Q28" s="430">
        <v>0</v>
      </c>
      <c r="R28" s="430">
        <v>0</v>
      </c>
      <c r="S28" s="430">
        <v>0</v>
      </c>
      <c r="T28" s="430">
        <v>0</v>
      </c>
      <c r="U28" s="430">
        <v>6.83</v>
      </c>
      <c r="V28" s="430">
        <v>4.8899999999999997</v>
      </c>
      <c r="W28" s="430">
        <v>0</v>
      </c>
      <c r="X28" s="430">
        <v>1.57</v>
      </c>
      <c r="Y28" s="430">
        <v>0.38</v>
      </c>
      <c r="Z28" s="430">
        <v>4.8899999999999997</v>
      </c>
      <c r="IV28" s="391"/>
    </row>
    <row r="29" spans="1:256" s="390" customFormat="1">
      <c r="A29" s="364"/>
      <c r="B29" s="393"/>
      <c r="C29" s="454"/>
      <c r="D29" s="394"/>
      <c r="E29" s="356"/>
      <c r="F29" s="357"/>
      <c r="G29" s="381"/>
      <c r="J29" s="390" t="s">
        <v>310</v>
      </c>
      <c r="K29" s="430"/>
      <c r="L29" s="430">
        <v>0</v>
      </c>
      <c r="M29" s="430">
        <v>0</v>
      </c>
      <c r="N29" s="430">
        <v>0</v>
      </c>
      <c r="O29" s="430">
        <v>4.7</v>
      </c>
      <c r="P29" s="430">
        <v>4.7</v>
      </c>
      <c r="Q29" s="430">
        <v>0</v>
      </c>
      <c r="R29" s="430">
        <v>0</v>
      </c>
      <c r="S29" s="430">
        <v>0</v>
      </c>
      <c r="T29" s="430">
        <v>0</v>
      </c>
      <c r="U29" s="430">
        <v>4.7</v>
      </c>
      <c r="V29" s="430">
        <v>2.95</v>
      </c>
      <c r="W29" s="430">
        <v>0</v>
      </c>
      <c r="X29" s="430">
        <v>1.4</v>
      </c>
      <c r="Y29" s="430">
        <v>0.34</v>
      </c>
      <c r="Z29" s="430">
        <v>2.95</v>
      </c>
      <c r="IV29" s="391"/>
    </row>
    <row r="30" spans="1:256" s="390" customFormat="1">
      <c r="A30" s="364"/>
      <c r="B30" s="393"/>
      <c r="C30" s="454"/>
      <c r="D30" s="394"/>
      <c r="E30" s="356"/>
      <c r="F30" s="357"/>
      <c r="G30" s="381"/>
      <c r="J30" s="390" t="s">
        <v>311</v>
      </c>
      <c r="K30" s="430"/>
      <c r="L30" s="430">
        <v>0</v>
      </c>
      <c r="M30" s="430">
        <v>0</v>
      </c>
      <c r="N30" s="430">
        <v>0</v>
      </c>
      <c r="O30" s="430">
        <v>7.62</v>
      </c>
      <c r="P30" s="430">
        <v>7.62</v>
      </c>
      <c r="Q30" s="430">
        <v>0</v>
      </c>
      <c r="R30" s="430">
        <v>0</v>
      </c>
      <c r="S30" s="430">
        <v>0</v>
      </c>
      <c r="T30" s="430">
        <v>0</v>
      </c>
      <c r="U30" s="430">
        <v>7.62</v>
      </c>
      <c r="V30" s="430">
        <v>5.66</v>
      </c>
      <c r="W30" s="430">
        <v>0</v>
      </c>
      <c r="X30" s="430">
        <v>1.58</v>
      </c>
      <c r="Y30" s="430">
        <v>0.38</v>
      </c>
      <c r="Z30" s="430">
        <v>5.66</v>
      </c>
      <c r="IV30" s="391"/>
    </row>
    <row r="31" spans="1:256" s="390" customFormat="1">
      <c r="A31" s="392"/>
      <c r="B31" s="393"/>
      <c r="C31" s="456"/>
      <c r="D31" s="346"/>
      <c r="E31" s="356"/>
      <c r="F31" s="357"/>
      <c r="G31" s="381"/>
      <c r="J31" s="390" t="s">
        <v>312</v>
      </c>
      <c r="K31" s="430"/>
      <c r="L31" s="430">
        <v>0</v>
      </c>
      <c r="M31" s="430">
        <v>0</v>
      </c>
      <c r="N31" s="430">
        <v>0</v>
      </c>
      <c r="O31" s="430">
        <v>6.12</v>
      </c>
      <c r="P31" s="430">
        <v>6.12</v>
      </c>
      <c r="Q31" s="430">
        <v>0</v>
      </c>
      <c r="R31" s="430">
        <v>0</v>
      </c>
      <c r="S31" s="430">
        <v>0</v>
      </c>
      <c r="T31" s="430">
        <v>0</v>
      </c>
      <c r="U31" s="430">
        <v>6.12</v>
      </c>
      <c r="V31" s="430">
        <v>4.7</v>
      </c>
      <c r="W31" s="430">
        <v>0</v>
      </c>
      <c r="X31" s="430">
        <v>1.1399999999999999</v>
      </c>
      <c r="Y31" s="430">
        <v>0.28000000000000003</v>
      </c>
      <c r="Z31" s="430">
        <v>4.7</v>
      </c>
      <c r="IV31" s="391"/>
    </row>
    <row r="32" spans="1:256" s="390" customFormat="1">
      <c r="A32" s="364"/>
      <c r="B32" s="393"/>
      <c r="C32" s="454"/>
      <c r="D32" s="346"/>
      <c r="E32" s="356"/>
      <c r="F32" s="357"/>
      <c r="G32" s="381"/>
      <c r="J32" s="390" t="s">
        <v>313</v>
      </c>
      <c r="K32" s="430"/>
      <c r="L32" s="430">
        <v>0</v>
      </c>
      <c r="M32" s="430">
        <v>0</v>
      </c>
      <c r="N32" s="430">
        <v>0</v>
      </c>
      <c r="O32" s="430">
        <v>0</v>
      </c>
      <c r="P32" s="430">
        <v>0</v>
      </c>
      <c r="Q32" s="430">
        <v>0</v>
      </c>
      <c r="R32" s="430">
        <v>0</v>
      </c>
      <c r="S32" s="430">
        <v>0</v>
      </c>
      <c r="T32" s="430">
        <v>0</v>
      </c>
      <c r="U32" s="430">
        <v>0</v>
      </c>
      <c r="V32" s="430">
        <v>0</v>
      </c>
      <c r="W32" s="430">
        <v>0</v>
      </c>
      <c r="X32" s="430">
        <v>0</v>
      </c>
      <c r="Y32" s="430">
        <v>0</v>
      </c>
      <c r="Z32" s="430">
        <v>0</v>
      </c>
      <c r="IV32" s="391"/>
    </row>
    <row r="33" spans="1:256" s="390" customFormat="1">
      <c r="A33" s="364"/>
      <c r="B33" s="393"/>
      <c r="C33" s="454"/>
      <c r="D33" s="394"/>
      <c r="E33" s="356"/>
      <c r="F33" s="357"/>
      <c r="G33" s="381"/>
      <c r="L33" s="390">
        <f>SUM(L25:L32)</f>
        <v>0</v>
      </c>
      <c r="M33" s="390">
        <f t="shared" ref="M33:Z33" si="0">SUM(M25:M32)</f>
        <v>0</v>
      </c>
      <c r="N33" s="390">
        <f t="shared" si="0"/>
        <v>0</v>
      </c>
      <c r="O33" s="390">
        <f t="shared" si="0"/>
        <v>521.61</v>
      </c>
      <c r="P33" s="390">
        <f t="shared" si="0"/>
        <v>489.55999999999995</v>
      </c>
      <c r="Q33" s="390">
        <f t="shared" si="0"/>
        <v>32.04</v>
      </c>
      <c r="R33" s="390">
        <f t="shared" si="0"/>
        <v>0</v>
      </c>
      <c r="S33" s="390">
        <f t="shared" si="0"/>
        <v>0</v>
      </c>
      <c r="T33" s="390">
        <f t="shared" si="0"/>
        <v>0</v>
      </c>
      <c r="U33" s="390">
        <f t="shared" si="0"/>
        <v>520.30999999999995</v>
      </c>
      <c r="V33" s="390">
        <f t="shared" si="0"/>
        <v>441.46999999999997</v>
      </c>
      <c r="W33" s="390">
        <f t="shared" si="0"/>
        <v>0</v>
      </c>
      <c r="X33" s="390">
        <f t="shared" si="0"/>
        <v>63.879999999999995</v>
      </c>
      <c r="Y33" s="390">
        <f t="shared" si="0"/>
        <v>14.96</v>
      </c>
      <c r="Z33" s="390">
        <f t="shared" si="0"/>
        <v>441.46999999999997</v>
      </c>
      <c r="IV33" s="391"/>
    </row>
    <row r="34" spans="1:256" s="389" customFormat="1">
      <c r="A34" s="354" t="s">
        <v>258</v>
      </c>
      <c r="B34" s="355" t="s">
        <v>266</v>
      </c>
      <c r="C34" s="455"/>
      <c r="D34" s="352"/>
      <c r="E34" s="360"/>
      <c r="F34" s="361">
        <f>SUM(F24:F33)</f>
        <v>0</v>
      </c>
      <c r="G34" s="381"/>
      <c r="H34" s="390"/>
    </row>
    <row r="35" spans="1:256" s="389" customFormat="1">
      <c r="A35" s="395"/>
      <c r="B35" s="396"/>
      <c r="C35" s="457"/>
      <c r="D35" s="394"/>
      <c r="E35" s="398"/>
      <c r="F35" s="399"/>
      <c r="G35" s="381"/>
      <c r="H35" s="388"/>
    </row>
    <row r="36" spans="1:256" s="390" customFormat="1">
      <c r="A36" s="354" t="s">
        <v>267</v>
      </c>
      <c r="B36" s="355" t="s">
        <v>268</v>
      </c>
      <c r="C36" s="455"/>
      <c r="D36" s="352"/>
      <c r="E36" s="360"/>
      <c r="F36" s="361"/>
      <c r="G36" s="381"/>
      <c r="IV36" s="391"/>
    </row>
    <row r="37" spans="1:256" s="390" customFormat="1">
      <c r="A37" s="354"/>
      <c r="B37" s="355"/>
      <c r="C37" s="455"/>
      <c r="D37" s="352"/>
      <c r="E37" s="360"/>
      <c r="F37" s="361"/>
      <c r="G37" s="381"/>
      <c r="I37" s="390" t="s">
        <v>221</v>
      </c>
      <c r="J37" s="390" t="s">
        <v>222</v>
      </c>
      <c r="K37" s="390" t="s">
        <v>223</v>
      </c>
      <c r="L37" s="390" t="s">
        <v>224</v>
      </c>
      <c r="M37" s="390" t="s">
        <v>225</v>
      </c>
      <c r="N37" s="390" t="s">
        <v>226</v>
      </c>
      <c r="O37" s="390" t="s">
        <v>227</v>
      </c>
      <c r="P37" s="390" t="s">
        <v>228</v>
      </c>
      <c r="Q37" s="390" t="s">
        <v>229</v>
      </c>
      <c r="R37" s="390" t="s">
        <v>230</v>
      </c>
      <c r="S37" s="390" t="s">
        <v>231</v>
      </c>
      <c r="T37" s="390" t="s">
        <v>232</v>
      </c>
      <c r="U37" s="390" t="s">
        <v>233</v>
      </c>
      <c r="V37" s="390" t="s">
        <v>234</v>
      </c>
      <c r="W37" s="390" t="s">
        <v>235</v>
      </c>
      <c r="X37" s="390" t="s">
        <v>236</v>
      </c>
      <c r="Y37" s="390" t="s">
        <v>237</v>
      </c>
      <c r="IV37" s="391"/>
    </row>
    <row r="38" spans="1:256" s="390" customFormat="1" ht="38.25">
      <c r="A38" s="364" t="s">
        <v>269</v>
      </c>
      <c r="B38" s="393" t="s">
        <v>471</v>
      </c>
      <c r="C38" s="456"/>
      <c r="D38" s="346"/>
      <c r="E38" s="400"/>
      <c r="F38" s="401"/>
      <c r="G38" s="381"/>
      <c r="I38" s="390" t="s">
        <v>484</v>
      </c>
      <c r="K38" s="390">
        <v>0</v>
      </c>
      <c r="L38" s="390">
        <v>2.2000000000000002</v>
      </c>
      <c r="M38" s="390">
        <v>0</v>
      </c>
      <c r="N38" s="390">
        <v>36.549999999999997</v>
      </c>
      <c r="O38" s="390">
        <v>36.549999999999997</v>
      </c>
      <c r="P38" s="390">
        <v>0</v>
      </c>
      <c r="Q38" s="390">
        <v>0</v>
      </c>
      <c r="R38" s="390">
        <v>0</v>
      </c>
      <c r="S38" s="390">
        <v>0</v>
      </c>
      <c r="T38" s="390">
        <v>36.44</v>
      </c>
      <c r="U38" s="390">
        <v>19.5</v>
      </c>
      <c r="V38" s="390">
        <v>8.2200000000000006</v>
      </c>
      <c r="W38" s="390">
        <v>7.06</v>
      </c>
      <c r="X38" s="390">
        <v>1.66</v>
      </c>
      <c r="Y38" s="390">
        <v>19.5</v>
      </c>
      <c r="IV38" s="391"/>
    </row>
    <row r="39" spans="1:256" s="390" customFormat="1">
      <c r="A39" s="402"/>
      <c r="B39" s="393"/>
      <c r="C39" s="454">
        <f>C8*0.8</f>
        <v>16.568000000000001</v>
      </c>
      <c r="D39" s="346" t="s">
        <v>105</v>
      </c>
      <c r="E39" s="356"/>
      <c r="F39" s="357">
        <f>C39*E39</f>
        <v>0</v>
      </c>
      <c r="G39" s="381"/>
      <c r="IV39" s="391"/>
    </row>
    <row r="40" spans="1:256" s="390" customFormat="1">
      <c r="A40" s="402"/>
      <c r="B40" s="393"/>
      <c r="C40" s="454"/>
      <c r="D40" s="346"/>
      <c r="E40" s="356"/>
      <c r="F40" s="357"/>
      <c r="G40" s="381"/>
      <c r="IV40" s="391"/>
    </row>
    <row r="41" spans="1:256" s="390" customFormat="1" ht="63.75">
      <c r="A41" s="364" t="s">
        <v>270</v>
      </c>
      <c r="B41" s="393" t="s">
        <v>271</v>
      </c>
      <c r="C41" s="454"/>
      <c r="D41" s="346"/>
      <c r="E41" s="400"/>
      <c r="F41" s="401"/>
      <c r="G41" s="381"/>
      <c r="IV41" s="391"/>
    </row>
    <row r="42" spans="1:256" s="390" customFormat="1">
      <c r="A42" s="402"/>
      <c r="B42" s="393"/>
      <c r="C42" s="454">
        <f>X38</f>
        <v>1.66</v>
      </c>
      <c r="D42" s="346" t="s">
        <v>108</v>
      </c>
      <c r="E42" s="356"/>
      <c r="F42" s="357">
        <f>C42*E42</f>
        <v>0</v>
      </c>
      <c r="G42" s="381"/>
      <c r="IV42" s="391"/>
    </row>
    <row r="43" spans="1:256" s="390" customFormat="1">
      <c r="A43" s="402"/>
      <c r="B43" s="393"/>
      <c r="C43" s="456"/>
      <c r="D43" s="346"/>
      <c r="E43" s="356"/>
      <c r="F43" s="357"/>
      <c r="G43" s="381"/>
      <c r="IV43" s="391"/>
    </row>
    <row r="44" spans="1:256" s="390" customFormat="1" ht="89.25">
      <c r="A44" s="364" t="s">
        <v>272</v>
      </c>
      <c r="B44" s="393" t="s">
        <v>273</v>
      </c>
      <c r="C44" s="456"/>
      <c r="D44" s="346"/>
      <c r="E44" s="400"/>
      <c r="F44" s="401"/>
      <c r="G44" s="381"/>
      <c r="IV44" s="391"/>
    </row>
    <row r="45" spans="1:256" s="390" customFormat="1">
      <c r="A45" s="402"/>
      <c r="B45" s="393"/>
      <c r="C45" s="454">
        <f>W38</f>
        <v>7.06</v>
      </c>
      <c r="D45" s="346" t="s">
        <v>108</v>
      </c>
      <c r="E45" s="356"/>
      <c r="F45" s="357">
        <f>C45*E45</f>
        <v>0</v>
      </c>
      <c r="G45" s="381"/>
      <c r="IV45" s="391"/>
    </row>
    <row r="46" spans="1:256" s="390" customFormat="1">
      <c r="A46" s="402"/>
      <c r="B46" s="393"/>
      <c r="C46" s="454"/>
      <c r="D46" s="346"/>
      <c r="E46" s="356"/>
      <c r="F46" s="357"/>
      <c r="G46" s="381"/>
      <c r="IV46" s="391"/>
    </row>
    <row r="47" spans="1:256" s="390" customFormat="1" ht="76.5">
      <c r="A47" s="364" t="s">
        <v>274</v>
      </c>
      <c r="B47" s="393" t="s">
        <v>275</v>
      </c>
      <c r="C47" s="454"/>
      <c r="D47" s="346"/>
      <c r="E47" s="400"/>
      <c r="F47" s="401"/>
      <c r="G47" s="381"/>
      <c r="IV47" s="391"/>
    </row>
    <row r="48" spans="1:256" s="390" customFormat="1">
      <c r="A48" s="402"/>
      <c r="B48" s="393"/>
      <c r="C48" s="454">
        <f>C26-C42-C45</f>
        <v>11.990000000000002</v>
      </c>
      <c r="D48" s="346" t="s">
        <v>108</v>
      </c>
      <c r="E48" s="356"/>
      <c r="F48" s="357">
        <f>C48*E48</f>
        <v>0</v>
      </c>
      <c r="G48" s="381"/>
      <c r="IV48" s="391"/>
    </row>
    <row r="49" spans="1:256" s="390" customFormat="1">
      <c r="A49" s="402"/>
      <c r="B49" s="393"/>
      <c r="C49" s="454"/>
      <c r="D49" s="346"/>
      <c r="E49" s="356"/>
      <c r="F49" s="357"/>
      <c r="G49" s="381"/>
      <c r="IV49" s="391"/>
    </row>
    <row r="50" spans="1:256" s="390" customFormat="1" ht="38.25">
      <c r="A50" s="364" t="s">
        <v>276</v>
      </c>
      <c r="B50" s="362" t="s">
        <v>277</v>
      </c>
      <c r="C50" s="454"/>
      <c r="D50" s="346"/>
      <c r="E50" s="365"/>
      <c r="F50" s="366"/>
      <c r="G50" s="381"/>
      <c r="IV50" s="391"/>
    </row>
    <row r="51" spans="1:256" s="390" customFormat="1">
      <c r="A51" s="364"/>
      <c r="B51" s="362"/>
      <c r="C51" s="454">
        <v>0</v>
      </c>
      <c r="D51" s="346" t="s">
        <v>105</v>
      </c>
      <c r="E51" s="365"/>
      <c r="F51" s="366">
        <f>C51*E51</f>
        <v>0</v>
      </c>
      <c r="G51" s="381"/>
      <c r="IV51" s="391"/>
    </row>
    <row r="52" spans="1:256" s="390" customFormat="1">
      <c r="A52" s="364"/>
      <c r="B52" s="362"/>
      <c r="C52" s="454"/>
      <c r="D52" s="346"/>
      <c r="E52" s="365"/>
      <c r="F52" s="366"/>
      <c r="G52" s="381"/>
      <c r="IV52" s="391"/>
    </row>
    <row r="53" spans="1:256" s="389" customFormat="1" ht="51">
      <c r="A53" s="364" t="s">
        <v>278</v>
      </c>
      <c r="B53" s="393" t="s">
        <v>279</v>
      </c>
      <c r="C53" s="454"/>
      <c r="D53" s="346"/>
      <c r="E53" s="400"/>
      <c r="F53" s="401"/>
      <c r="G53" s="381"/>
      <c r="H53" s="381"/>
    </row>
    <row r="54" spans="1:256" s="389" customFormat="1">
      <c r="A54" s="402"/>
      <c r="B54" s="393"/>
      <c r="C54" s="454">
        <f>(C26+C32-C48)*1.4</f>
        <v>12.207999999999998</v>
      </c>
      <c r="D54" s="346" t="s">
        <v>108</v>
      </c>
      <c r="E54" s="356"/>
      <c r="F54" s="357">
        <f>C54*E54</f>
        <v>0</v>
      </c>
      <c r="G54" s="381"/>
      <c r="H54" s="381"/>
    </row>
    <row r="55" spans="1:256" s="389" customFormat="1">
      <c r="A55" s="402"/>
      <c r="B55" s="393"/>
      <c r="C55" s="454"/>
      <c r="D55" s="346"/>
      <c r="E55" s="356"/>
      <c r="F55" s="357"/>
      <c r="G55" s="381"/>
      <c r="H55" s="388"/>
    </row>
    <row r="56" spans="1:256" s="389" customFormat="1">
      <c r="A56" s="364" t="s">
        <v>280</v>
      </c>
      <c r="B56" s="393" t="s">
        <v>281</v>
      </c>
      <c r="C56" s="454"/>
      <c r="D56" s="346"/>
      <c r="E56" s="400"/>
      <c r="F56" s="401"/>
      <c r="G56" s="381"/>
      <c r="H56" s="388"/>
    </row>
    <row r="57" spans="1:256" s="389" customFormat="1">
      <c r="A57" s="402"/>
      <c r="B57" s="393"/>
      <c r="C57" s="454">
        <v>5</v>
      </c>
      <c r="D57" s="346" t="s">
        <v>71</v>
      </c>
      <c r="E57" s="356"/>
      <c r="F57" s="357">
        <f>C57*E57</f>
        <v>0</v>
      </c>
      <c r="G57" s="381"/>
      <c r="H57" s="388"/>
    </row>
    <row r="58" spans="1:256" s="389" customFormat="1">
      <c r="A58" s="402"/>
      <c r="B58" s="393"/>
      <c r="C58" s="456"/>
      <c r="D58" s="346"/>
      <c r="E58" s="356"/>
      <c r="F58" s="357"/>
      <c r="G58" s="381"/>
      <c r="H58" s="388"/>
    </row>
    <row r="59" spans="1:256" s="389" customFormat="1">
      <c r="A59" s="354" t="s">
        <v>267</v>
      </c>
      <c r="B59" s="355" t="s">
        <v>282</v>
      </c>
      <c r="C59" s="455"/>
      <c r="D59" s="352"/>
      <c r="E59" s="360"/>
      <c r="F59" s="361">
        <f>SUM(F38:F57)</f>
        <v>0</v>
      </c>
      <c r="G59" s="381"/>
      <c r="H59" s="390"/>
    </row>
    <row r="60" spans="1:256" s="389" customFormat="1">
      <c r="A60" s="354"/>
      <c r="B60" s="355"/>
      <c r="C60" s="455"/>
      <c r="D60" s="352"/>
      <c r="E60" s="360"/>
      <c r="F60" s="361"/>
      <c r="G60" s="381"/>
      <c r="H60" s="390"/>
    </row>
    <row r="61" spans="1:256" s="389" customFormat="1" ht="38.25">
      <c r="A61" s="364" t="s">
        <v>838</v>
      </c>
      <c r="B61" s="393" t="s">
        <v>284</v>
      </c>
      <c r="C61" s="456"/>
      <c r="D61" s="394"/>
      <c r="E61" s="356"/>
      <c r="F61" s="357"/>
      <c r="G61" s="381"/>
      <c r="H61" s="388"/>
    </row>
    <row r="62" spans="1:256" s="389" customFormat="1">
      <c r="A62" s="395"/>
      <c r="B62" s="396"/>
      <c r="C62" s="470"/>
      <c r="D62" s="394"/>
      <c r="E62" s="404"/>
      <c r="F62" s="715">
        <f>SUM(F59,F34)*0.05</f>
        <v>0</v>
      </c>
      <c r="G62" s="381"/>
      <c r="H62" s="388"/>
    </row>
    <row r="63" spans="1:256" s="389" customFormat="1">
      <c r="A63" s="354"/>
      <c r="B63" s="355"/>
      <c r="C63" s="455"/>
      <c r="D63" s="352"/>
      <c r="E63" s="360"/>
      <c r="F63" s="361"/>
      <c r="G63" s="381"/>
      <c r="H63" s="390"/>
    </row>
    <row r="64" spans="1:256" s="350" customFormat="1">
      <c r="A64" s="348" t="s">
        <v>177</v>
      </c>
      <c r="B64" s="349" t="s">
        <v>285</v>
      </c>
      <c r="C64" s="468"/>
      <c r="E64" s="376"/>
      <c r="F64" s="377">
        <f>F62+F59+F34</f>
        <v>0</v>
      </c>
      <c r="G64" s="345"/>
    </row>
    <row r="65" spans="1:12" s="350" customFormat="1">
      <c r="A65" s="348"/>
      <c r="B65" s="349"/>
      <c r="C65" s="468"/>
      <c r="E65" s="376"/>
      <c r="F65" s="377"/>
      <c r="G65" s="345"/>
    </row>
    <row r="66" spans="1:12" s="407" customFormat="1">
      <c r="A66" s="348" t="s">
        <v>175</v>
      </c>
      <c r="B66" s="349" t="s">
        <v>286</v>
      </c>
      <c r="C66" s="468"/>
      <c r="D66" s="350"/>
      <c r="E66" s="376"/>
      <c r="F66" s="377"/>
    </row>
    <row r="67" spans="1:12" s="407" customFormat="1" ht="38.25">
      <c r="A67" s="364" t="s">
        <v>291</v>
      </c>
      <c r="B67" s="393" t="s">
        <v>290</v>
      </c>
      <c r="C67" s="456"/>
      <c r="D67" s="346"/>
      <c r="E67" s="356"/>
      <c r="F67" s="357"/>
    </row>
    <row r="68" spans="1:12" s="407" customFormat="1">
      <c r="A68" s="392"/>
      <c r="B68" s="393"/>
      <c r="C68" s="454">
        <v>2</v>
      </c>
      <c r="D68" s="346" t="s">
        <v>190</v>
      </c>
      <c r="E68" s="356"/>
      <c r="F68" s="357">
        <f>C68*E68</f>
        <v>0</v>
      </c>
    </row>
    <row r="69" spans="1:12" s="407" customFormat="1">
      <c r="A69" s="392"/>
      <c r="B69" s="393"/>
      <c r="C69" s="456"/>
      <c r="D69" s="346"/>
      <c r="E69" s="356"/>
      <c r="F69" s="357"/>
    </row>
    <row r="70" spans="1:12" s="350" customFormat="1" ht="38.25">
      <c r="A70" s="364" t="s">
        <v>329</v>
      </c>
      <c r="B70" s="393" t="s">
        <v>292</v>
      </c>
      <c r="C70" s="456"/>
      <c r="D70" s="346"/>
      <c r="E70" s="356"/>
      <c r="F70" s="357"/>
      <c r="G70" s="345"/>
    </row>
    <row r="71" spans="1:12" s="350" customFormat="1">
      <c r="A71" s="413"/>
      <c r="B71" s="393"/>
      <c r="C71" s="454">
        <v>6</v>
      </c>
      <c r="D71" s="346" t="s">
        <v>105</v>
      </c>
      <c r="E71" s="356"/>
      <c r="F71" s="357">
        <f>C71*E71</f>
        <v>0</v>
      </c>
      <c r="G71" s="381"/>
      <c r="I71" s="346"/>
      <c r="J71" s="346"/>
      <c r="K71" s="346"/>
      <c r="L71" s="346"/>
    </row>
    <row r="72" spans="1:12" s="389" customFormat="1">
      <c r="A72" s="413"/>
      <c r="B72" s="393"/>
      <c r="C72" s="454"/>
      <c r="D72" s="346"/>
      <c r="E72" s="356"/>
      <c r="F72" s="357"/>
      <c r="G72" s="381"/>
      <c r="H72" s="381"/>
      <c r="I72" s="346"/>
      <c r="J72" s="346"/>
      <c r="K72" s="346"/>
      <c r="L72" s="346"/>
    </row>
    <row r="73" spans="1:12" s="389" customFormat="1">
      <c r="A73" s="348" t="s">
        <v>175</v>
      </c>
      <c r="B73" s="349" t="s">
        <v>293</v>
      </c>
      <c r="C73" s="464"/>
      <c r="D73" s="350"/>
      <c r="E73" s="376"/>
      <c r="F73" s="377">
        <f>SUM(F67:F72)</f>
        <v>0</v>
      </c>
      <c r="G73" s="381"/>
      <c r="H73" s="390"/>
      <c r="I73" s="346"/>
      <c r="J73" s="346"/>
      <c r="K73" s="346"/>
      <c r="L73" s="346"/>
    </row>
    <row r="74" spans="1:12" s="389" customFormat="1">
      <c r="A74" s="348"/>
      <c r="B74" s="349"/>
      <c r="C74" s="464"/>
      <c r="D74" s="350"/>
      <c r="E74" s="376"/>
      <c r="F74" s="377"/>
      <c r="G74" s="381"/>
      <c r="H74" s="390"/>
      <c r="I74" s="352"/>
      <c r="J74" s="352"/>
      <c r="K74" s="352"/>
      <c r="L74" s="352"/>
    </row>
    <row r="75" spans="1:12" s="389" customFormat="1">
      <c r="A75" s="348" t="s">
        <v>185</v>
      </c>
      <c r="B75" s="349" t="s">
        <v>294</v>
      </c>
      <c r="C75" s="464"/>
      <c r="D75" s="350"/>
      <c r="E75" s="376"/>
      <c r="F75" s="377"/>
      <c r="G75" s="381"/>
      <c r="H75" s="390"/>
      <c r="I75" s="352"/>
      <c r="J75" s="352"/>
      <c r="K75" s="352"/>
      <c r="L75" s="352"/>
    </row>
    <row r="76" spans="1:12" s="389" customFormat="1" ht="11.25" customHeight="1">
      <c r="A76" s="402"/>
      <c r="B76" s="393"/>
      <c r="C76" s="454"/>
      <c r="D76" s="346"/>
      <c r="E76" s="356"/>
      <c r="F76" s="357"/>
      <c r="G76" s="381"/>
      <c r="H76" s="390"/>
      <c r="I76" s="352"/>
      <c r="J76" s="352"/>
      <c r="K76" s="352"/>
      <c r="L76" s="352"/>
    </row>
    <row r="77" spans="1:12" s="389" customFormat="1" ht="6.75" customHeight="1">
      <c r="A77" s="392"/>
      <c r="B77" s="393"/>
      <c r="C77" s="454"/>
      <c r="D77" s="346"/>
      <c r="E77" s="400"/>
      <c r="F77" s="401"/>
      <c r="G77" s="381"/>
      <c r="I77" s="346"/>
      <c r="J77" s="346"/>
      <c r="K77" s="346"/>
      <c r="L77" s="346"/>
    </row>
    <row r="78" spans="1:12" s="389" customFormat="1" ht="6.75" customHeight="1">
      <c r="A78" s="364"/>
      <c r="B78" s="393"/>
      <c r="C78" s="454"/>
      <c r="D78" s="346"/>
      <c r="E78" s="356"/>
      <c r="F78" s="357"/>
      <c r="G78" s="381"/>
      <c r="I78" s="346"/>
      <c r="J78" s="346"/>
      <c r="K78" s="346"/>
      <c r="L78" s="346"/>
    </row>
    <row r="79" spans="1:12" s="389" customFormat="1" ht="6.75" customHeight="1">
      <c r="A79" s="402"/>
      <c r="B79" s="393"/>
      <c r="C79" s="454"/>
      <c r="D79" s="346"/>
      <c r="E79" s="356"/>
      <c r="F79" s="357"/>
      <c r="G79" s="381"/>
      <c r="H79" s="415"/>
      <c r="I79" s="346" t="s">
        <v>221</v>
      </c>
      <c r="J79" s="346" t="s">
        <v>238</v>
      </c>
      <c r="K79" s="346" t="s">
        <v>239</v>
      </c>
      <c r="L79" s="346"/>
    </row>
    <row r="80" spans="1:12" s="389" customFormat="1" ht="6.75" customHeight="1">
      <c r="A80" s="392"/>
      <c r="B80" s="393"/>
      <c r="C80" s="454"/>
      <c r="D80" s="346"/>
      <c r="E80" s="400"/>
      <c r="F80" s="401"/>
      <c r="G80" s="381"/>
      <c r="H80" s="415"/>
      <c r="I80" s="346" t="s">
        <v>306</v>
      </c>
      <c r="J80" s="346">
        <v>100</v>
      </c>
      <c r="K80" s="346">
        <v>0</v>
      </c>
      <c r="L80" s="346"/>
    </row>
    <row r="81" spans="1:256" s="389" customFormat="1" ht="6.75" customHeight="1">
      <c r="A81" s="364"/>
      <c r="B81" s="393"/>
      <c r="C81" s="454"/>
      <c r="D81" s="346"/>
      <c r="E81" s="356"/>
      <c r="F81" s="357"/>
      <c r="G81" s="381"/>
      <c r="H81" s="415"/>
      <c r="I81" s="346" t="s">
        <v>221</v>
      </c>
      <c r="J81" s="346" t="s">
        <v>238</v>
      </c>
      <c r="K81" s="346" t="s">
        <v>239</v>
      </c>
      <c r="L81" s="346"/>
    </row>
    <row r="82" spans="1:256" s="389" customFormat="1" ht="6.75" customHeight="1">
      <c r="A82" s="364"/>
      <c r="B82" s="393"/>
      <c r="C82" s="454"/>
      <c r="D82" s="346"/>
      <c r="E82" s="356"/>
      <c r="F82" s="357"/>
      <c r="G82" s="381"/>
      <c r="H82" s="415"/>
      <c r="I82" s="346" t="s">
        <v>308</v>
      </c>
      <c r="J82" s="346">
        <v>80</v>
      </c>
      <c r="K82" s="346">
        <v>20.71</v>
      </c>
      <c r="L82" s="346"/>
    </row>
    <row r="83" spans="1:256" s="389" customFormat="1" ht="16.5" customHeight="1">
      <c r="A83" s="402"/>
      <c r="B83" s="393"/>
      <c r="C83" s="454"/>
      <c r="D83" s="346"/>
      <c r="E83" s="356"/>
      <c r="F83" s="357"/>
      <c r="G83" s="381"/>
      <c r="H83" s="415"/>
      <c r="I83" s="346"/>
      <c r="J83" s="346"/>
      <c r="K83" s="346"/>
      <c r="L83" s="346"/>
    </row>
    <row r="84" spans="1:256" s="389" customFormat="1" ht="29.25" customHeight="1">
      <c r="A84" s="392"/>
      <c r="B84" s="393" t="s">
        <v>315</v>
      </c>
      <c r="C84" s="454"/>
      <c r="D84" s="346"/>
      <c r="E84" s="400"/>
      <c r="F84" s="401"/>
      <c r="G84" s="381"/>
      <c r="H84" s="390"/>
      <c r="I84" s="346"/>
      <c r="J84" s="346"/>
      <c r="K84" s="346"/>
      <c r="L84" s="346"/>
    </row>
    <row r="85" spans="1:256" s="389" customFormat="1">
      <c r="A85" s="364" t="s">
        <v>297</v>
      </c>
      <c r="B85" s="393" t="s">
        <v>308</v>
      </c>
      <c r="C85" s="454">
        <f>K82</f>
        <v>20.71</v>
      </c>
      <c r="D85" s="346" t="s">
        <v>115</v>
      </c>
      <c r="E85" s="356"/>
      <c r="F85" s="357">
        <f>C85*E85</f>
        <v>0</v>
      </c>
      <c r="G85" s="381"/>
      <c r="H85" s="390"/>
      <c r="I85" s="346"/>
      <c r="J85" s="346"/>
      <c r="K85" s="346"/>
      <c r="L85" s="346"/>
    </row>
    <row r="86" spans="1:256" s="389" customFormat="1">
      <c r="A86" s="402"/>
      <c r="B86" s="393"/>
      <c r="C86" s="454"/>
      <c r="D86" s="346"/>
      <c r="E86" s="356"/>
      <c r="F86" s="357"/>
      <c r="G86" s="381"/>
      <c r="H86" s="390"/>
      <c r="I86" s="346"/>
      <c r="J86" s="346"/>
      <c r="K86" s="346"/>
      <c r="L86" s="346"/>
    </row>
    <row r="87" spans="1:256" s="389" customFormat="1" ht="81" customHeight="1">
      <c r="A87" s="392"/>
      <c r="B87" s="393" t="s">
        <v>319</v>
      </c>
      <c r="C87" s="454"/>
      <c r="D87" s="346"/>
      <c r="E87" s="400"/>
      <c r="F87" s="401"/>
      <c r="G87" s="381"/>
      <c r="H87" s="390"/>
    </row>
    <row r="88" spans="1:256" s="389" customFormat="1">
      <c r="A88" s="364" t="s">
        <v>316</v>
      </c>
      <c r="B88" s="393" t="s">
        <v>308</v>
      </c>
      <c r="C88" s="454">
        <f>C85</f>
        <v>20.71</v>
      </c>
      <c r="D88" s="346" t="s">
        <v>115</v>
      </c>
      <c r="E88" s="356"/>
      <c r="F88" s="357">
        <f>C88*E88</f>
        <v>0</v>
      </c>
      <c r="G88" s="381"/>
      <c r="H88" s="390"/>
    </row>
    <row r="89" spans="1:256" s="389" customFormat="1">
      <c r="A89" s="364"/>
      <c r="B89" s="393"/>
      <c r="C89" s="454"/>
      <c r="D89" s="346"/>
      <c r="E89" s="356"/>
      <c r="F89" s="357"/>
      <c r="G89" s="381"/>
      <c r="H89" s="390"/>
    </row>
    <row r="90" spans="1:256" s="389" customFormat="1">
      <c r="A90" s="354"/>
      <c r="B90" s="355"/>
      <c r="C90" s="455"/>
      <c r="D90" s="352"/>
      <c r="E90" s="360"/>
      <c r="F90" s="361"/>
    </row>
    <row r="91" spans="1:256" s="346" customFormat="1">
      <c r="A91" s="348" t="s">
        <v>185</v>
      </c>
      <c r="B91" s="349" t="s">
        <v>299</v>
      </c>
      <c r="C91" s="464"/>
      <c r="D91" s="350"/>
      <c r="E91" s="376"/>
      <c r="F91" s="377">
        <f>SUM(F76:F89)</f>
        <v>0</v>
      </c>
      <c r="G91" s="345"/>
      <c r="H91" s="345"/>
    </row>
    <row r="92" spans="1:256" s="350" customFormat="1">
      <c r="A92" s="354"/>
      <c r="B92" s="355"/>
      <c r="C92" s="455"/>
      <c r="D92" s="352"/>
      <c r="E92" s="352"/>
      <c r="F92" s="353"/>
      <c r="G92" s="381"/>
    </row>
    <row r="93" spans="1:256" s="352" customFormat="1">
      <c r="A93" s="348" t="s">
        <v>102</v>
      </c>
      <c r="B93" s="349" t="s">
        <v>170</v>
      </c>
      <c r="C93" s="464"/>
      <c r="D93" s="350"/>
      <c r="E93" s="376"/>
      <c r="F93" s="377"/>
      <c r="G93" s="345"/>
      <c r="H93" s="345"/>
      <c r="IV93" s="405"/>
    </row>
    <row r="94" spans="1:256">
      <c r="A94" s="402"/>
      <c r="B94" s="368"/>
      <c r="C94" s="456"/>
      <c r="D94" s="346"/>
      <c r="E94" s="426"/>
      <c r="F94" s="427"/>
    </row>
    <row r="95" spans="1:256" ht="25.5">
      <c r="A95" s="364" t="s">
        <v>300</v>
      </c>
      <c r="B95" s="393" t="s">
        <v>301</v>
      </c>
      <c r="C95" s="454"/>
      <c r="D95" s="346"/>
      <c r="E95" s="400"/>
      <c r="F95" s="401"/>
    </row>
    <row r="96" spans="1:256">
      <c r="A96" s="402"/>
      <c r="B96" s="393"/>
      <c r="C96" s="454">
        <f>C8</f>
        <v>20.71</v>
      </c>
      <c r="D96" s="346" t="s">
        <v>115</v>
      </c>
      <c r="E96" s="356"/>
      <c r="F96" s="357">
        <f>C96*E96</f>
        <v>0</v>
      </c>
    </row>
    <row r="97" spans="1:6">
      <c r="A97" s="402"/>
      <c r="B97" s="393"/>
      <c r="C97" s="454"/>
      <c r="D97" s="346"/>
      <c r="E97" s="356"/>
      <c r="F97" s="357"/>
    </row>
    <row r="98" spans="1:6" ht="51">
      <c r="A98" s="364" t="s">
        <v>302</v>
      </c>
      <c r="B98" s="393" t="s">
        <v>303</v>
      </c>
      <c r="C98" s="458"/>
      <c r="D98" s="363"/>
      <c r="E98" s="414"/>
      <c r="F98" s="414"/>
    </row>
    <row r="99" spans="1:6">
      <c r="A99" s="364"/>
      <c r="B99" s="393"/>
      <c r="C99" s="454">
        <f>C96</f>
        <v>20.71</v>
      </c>
      <c r="D99" s="346" t="s">
        <v>115</v>
      </c>
      <c r="E99" s="356"/>
      <c r="F99" s="357">
        <f>C99*E99</f>
        <v>0</v>
      </c>
    </row>
    <row r="100" spans="1:6">
      <c r="C100" s="457"/>
      <c r="E100" s="406"/>
    </row>
    <row r="101" spans="1:6">
      <c r="A101" s="348" t="s">
        <v>102</v>
      </c>
      <c r="B101" s="349" t="s">
        <v>304</v>
      </c>
      <c r="C101" s="464"/>
      <c r="D101" s="350"/>
      <c r="E101" s="376"/>
      <c r="F101" s="377">
        <f>SUM(F95:F100)</f>
        <v>0</v>
      </c>
    </row>
    <row r="102" spans="1:6">
      <c r="C102" s="457"/>
      <c r="E102" s="406"/>
    </row>
    <row r="104" spans="1:6">
      <c r="A104" s="429"/>
      <c r="B104" s="346"/>
      <c r="C104" s="466"/>
      <c r="D104" s="346"/>
      <c r="E104" s="346"/>
      <c r="F104" s="346"/>
    </row>
    <row r="105" spans="1:6">
      <c r="A105" s="429"/>
      <c r="B105" s="346"/>
      <c r="C105" s="466"/>
      <c r="D105" s="346"/>
      <c r="E105" s="346"/>
      <c r="F105" s="346"/>
    </row>
  </sheetData>
  <pageMargins left="0.70866141732283472" right="0.70866141732283472" top="0.74803149606299213" bottom="0.74803149606299213" header="0.31496062992125984" footer="0.31496062992125984"/>
  <pageSetup paperSize="9" orientation="portrait" r:id="rId1"/>
  <headerFooter>
    <oddHeader>&amp;CProjekt Dolenje in Gorenje Ponikve:
Kanalizacija, rekonstrukcija vodovoda in pločnik med naseljema</oddHeader>
    <oddFooter>&amp;R&amp;P/&amp;N</oddFooter>
  </headerFooter>
  <rowBreaks count="6" manualBreakCount="6">
    <brk id="11" max="5" man="1"/>
    <brk id="19" max="5" man="1"/>
    <brk id="42" max="5" man="1"/>
    <brk id="64" max="5" man="1"/>
    <brk id="74" max="5" man="1"/>
    <brk id="91" max="5"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V124"/>
  <sheetViews>
    <sheetView view="pageBreakPreview" topLeftCell="A58" zoomScale="140" zoomScaleNormal="150" zoomScaleSheetLayoutView="140" workbookViewId="0">
      <selection activeCell="E119" sqref="E119"/>
    </sheetView>
  </sheetViews>
  <sheetFormatPr defaultColWidth="9" defaultRowHeight="12.75"/>
  <cols>
    <col min="1" max="1" width="7.42578125" style="395" bestFit="1" customWidth="1"/>
    <col min="2" max="2" width="41.42578125" style="396" customWidth="1"/>
    <col min="3" max="3" width="8.7109375" style="472" customWidth="1"/>
    <col min="4" max="4" width="6.140625" style="394" customWidth="1"/>
    <col min="5" max="5" width="12.28515625" style="394" customWidth="1"/>
    <col min="6" max="6" width="10.28515625" style="428" customWidth="1"/>
    <col min="7" max="7" width="10.140625" style="394" customWidth="1"/>
    <col min="8" max="8" width="2" style="394" bestFit="1" customWidth="1"/>
    <col min="9" max="9" width="19.5703125" style="394" customWidth="1"/>
    <col min="10" max="10" width="4.85546875" style="394" customWidth="1"/>
    <col min="11" max="11" width="9.85546875" style="394" customWidth="1"/>
    <col min="12" max="12" width="12" style="394" customWidth="1"/>
    <col min="13" max="256" width="9" style="394"/>
    <col min="257" max="257" width="7.42578125" style="394" bestFit="1" customWidth="1"/>
    <col min="258" max="258" width="37.42578125" style="394" customWidth="1"/>
    <col min="259" max="259" width="14.140625" style="394" customWidth="1"/>
    <col min="260" max="260" width="6.140625" style="394" customWidth="1"/>
    <col min="261" max="261" width="12.28515625" style="394" customWidth="1"/>
    <col min="262" max="262" width="15.42578125" style="394" customWidth="1"/>
    <col min="263" max="263" width="10.140625" style="394" customWidth="1"/>
    <col min="264" max="264" width="2" style="394" bestFit="1" customWidth="1"/>
    <col min="265" max="265" width="39.42578125" style="394" customWidth="1"/>
    <col min="266" max="512" width="9" style="394"/>
    <col min="513" max="513" width="7.42578125" style="394" bestFit="1" customWidth="1"/>
    <col min="514" max="514" width="37.42578125" style="394" customWidth="1"/>
    <col min="515" max="515" width="14.140625" style="394" customWidth="1"/>
    <col min="516" max="516" width="6.140625" style="394" customWidth="1"/>
    <col min="517" max="517" width="12.28515625" style="394" customWidth="1"/>
    <col min="518" max="518" width="15.42578125" style="394" customWidth="1"/>
    <col min="519" max="519" width="10.140625" style="394" customWidth="1"/>
    <col min="520" max="520" width="2" style="394" bestFit="1" customWidth="1"/>
    <col min="521" max="521" width="39.42578125" style="394" customWidth="1"/>
    <col min="522" max="768" width="9" style="394"/>
    <col min="769" max="769" width="7.42578125" style="394" bestFit="1" customWidth="1"/>
    <col min="770" max="770" width="37.42578125" style="394" customWidth="1"/>
    <col min="771" max="771" width="14.140625" style="394" customWidth="1"/>
    <col min="772" max="772" width="6.140625" style="394" customWidth="1"/>
    <col min="773" max="773" width="12.28515625" style="394" customWidth="1"/>
    <col min="774" max="774" width="15.42578125" style="394" customWidth="1"/>
    <col min="775" max="775" width="10.140625" style="394" customWidth="1"/>
    <col min="776" max="776" width="2" style="394" bestFit="1" customWidth="1"/>
    <col min="777" max="777" width="39.42578125" style="394" customWidth="1"/>
    <col min="778" max="1024" width="9" style="394"/>
    <col min="1025" max="1025" width="7.42578125" style="394" bestFit="1" customWidth="1"/>
    <col min="1026" max="1026" width="37.42578125" style="394" customWidth="1"/>
    <col min="1027" max="1027" width="14.140625" style="394" customWidth="1"/>
    <col min="1028" max="1028" width="6.140625" style="394" customWidth="1"/>
    <col min="1029" max="1029" width="12.28515625" style="394" customWidth="1"/>
    <col min="1030" max="1030" width="15.42578125" style="394" customWidth="1"/>
    <col min="1031" max="1031" width="10.140625" style="394" customWidth="1"/>
    <col min="1032" max="1032" width="2" style="394" bestFit="1" customWidth="1"/>
    <col min="1033" max="1033" width="39.42578125" style="394" customWidth="1"/>
    <col min="1034" max="1280" width="9" style="394"/>
    <col min="1281" max="1281" width="7.42578125" style="394" bestFit="1" customWidth="1"/>
    <col min="1282" max="1282" width="37.42578125" style="394" customWidth="1"/>
    <col min="1283" max="1283" width="14.140625" style="394" customWidth="1"/>
    <col min="1284" max="1284" width="6.140625" style="394" customWidth="1"/>
    <col min="1285" max="1285" width="12.28515625" style="394" customWidth="1"/>
    <col min="1286" max="1286" width="15.42578125" style="394" customWidth="1"/>
    <col min="1287" max="1287" width="10.140625" style="394" customWidth="1"/>
    <col min="1288" max="1288" width="2" style="394" bestFit="1" customWidth="1"/>
    <col min="1289" max="1289" width="39.42578125" style="394" customWidth="1"/>
    <col min="1290" max="1536" width="9" style="394"/>
    <col min="1537" max="1537" width="7.42578125" style="394" bestFit="1" customWidth="1"/>
    <col min="1538" max="1538" width="37.42578125" style="394" customWidth="1"/>
    <col min="1539" max="1539" width="14.140625" style="394" customWidth="1"/>
    <col min="1540" max="1540" width="6.140625" style="394" customWidth="1"/>
    <col min="1541" max="1541" width="12.28515625" style="394" customWidth="1"/>
    <col min="1542" max="1542" width="15.42578125" style="394" customWidth="1"/>
    <col min="1543" max="1543" width="10.140625" style="394" customWidth="1"/>
    <col min="1544" max="1544" width="2" style="394" bestFit="1" customWidth="1"/>
    <col min="1545" max="1545" width="39.42578125" style="394" customWidth="1"/>
    <col min="1546" max="1792" width="9" style="394"/>
    <col min="1793" max="1793" width="7.42578125" style="394" bestFit="1" customWidth="1"/>
    <col min="1794" max="1794" width="37.42578125" style="394" customWidth="1"/>
    <col min="1795" max="1795" width="14.140625" style="394" customWidth="1"/>
    <col min="1796" max="1796" width="6.140625" style="394" customWidth="1"/>
    <col min="1797" max="1797" width="12.28515625" style="394" customWidth="1"/>
    <col min="1798" max="1798" width="15.42578125" style="394" customWidth="1"/>
    <col min="1799" max="1799" width="10.140625" style="394" customWidth="1"/>
    <col min="1800" max="1800" width="2" style="394" bestFit="1" customWidth="1"/>
    <col min="1801" max="1801" width="39.42578125" style="394" customWidth="1"/>
    <col min="1802" max="2048" width="9" style="394"/>
    <col min="2049" max="2049" width="7.42578125" style="394" bestFit="1" customWidth="1"/>
    <col min="2050" max="2050" width="37.42578125" style="394" customWidth="1"/>
    <col min="2051" max="2051" width="14.140625" style="394" customWidth="1"/>
    <col min="2052" max="2052" width="6.140625" style="394" customWidth="1"/>
    <col min="2053" max="2053" width="12.28515625" style="394" customWidth="1"/>
    <col min="2054" max="2054" width="15.42578125" style="394" customWidth="1"/>
    <col min="2055" max="2055" width="10.140625" style="394" customWidth="1"/>
    <col min="2056" max="2056" width="2" style="394" bestFit="1" customWidth="1"/>
    <col min="2057" max="2057" width="39.42578125" style="394" customWidth="1"/>
    <col min="2058" max="2304" width="9" style="394"/>
    <col min="2305" max="2305" width="7.42578125" style="394" bestFit="1" customWidth="1"/>
    <col min="2306" max="2306" width="37.42578125" style="394" customWidth="1"/>
    <col min="2307" max="2307" width="14.140625" style="394" customWidth="1"/>
    <col min="2308" max="2308" width="6.140625" style="394" customWidth="1"/>
    <col min="2309" max="2309" width="12.28515625" style="394" customWidth="1"/>
    <col min="2310" max="2310" width="15.42578125" style="394" customWidth="1"/>
    <col min="2311" max="2311" width="10.140625" style="394" customWidth="1"/>
    <col min="2312" max="2312" width="2" style="394" bestFit="1" customWidth="1"/>
    <col min="2313" max="2313" width="39.42578125" style="394" customWidth="1"/>
    <col min="2314" max="2560" width="9" style="394"/>
    <col min="2561" max="2561" width="7.42578125" style="394" bestFit="1" customWidth="1"/>
    <col min="2562" max="2562" width="37.42578125" style="394" customWidth="1"/>
    <col min="2563" max="2563" width="14.140625" style="394" customWidth="1"/>
    <col min="2564" max="2564" width="6.140625" style="394" customWidth="1"/>
    <col min="2565" max="2565" width="12.28515625" style="394" customWidth="1"/>
    <col min="2566" max="2566" width="15.42578125" style="394" customWidth="1"/>
    <col min="2567" max="2567" width="10.140625" style="394" customWidth="1"/>
    <col min="2568" max="2568" width="2" style="394" bestFit="1" customWidth="1"/>
    <col min="2569" max="2569" width="39.42578125" style="394" customWidth="1"/>
    <col min="2570" max="2816" width="9" style="394"/>
    <col min="2817" max="2817" width="7.42578125" style="394" bestFit="1" customWidth="1"/>
    <col min="2818" max="2818" width="37.42578125" style="394" customWidth="1"/>
    <col min="2819" max="2819" width="14.140625" style="394" customWidth="1"/>
    <col min="2820" max="2820" width="6.140625" style="394" customWidth="1"/>
    <col min="2821" max="2821" width="12.28515625" style="394" customWidth="1"/>
    <col min="2822" max="2822" width="15.42578125" style="394" customWidth="1"/>
    <col min="2823" max="2823" width="10.140625" style="394" customWidth="1"/>
    <col min="2824" max="2824" width="2" style="394" bestFit="1" customWidth="1"/>
    <col min="2825" max="2825" width="39.42578125" style="394" customWidth="1"/>
    <col min="2826" max="3072" width="9" style="394"/>
    <col min="3073" max="3073" width="7.42578125" style="394" bestFit="1" customWidth="1"/>
    <col min="3074" max="3074" width="37.42578125" style="394" customWidth="1"/>
    <col min="3075" max="3075" width="14.140625" style="394" customWidth="1"/>
    <col min="3076" max="3076" width="6.140625" style="394" customWidth="1"/>
    <col min="3077" max="3077" width="12.28515625" style="394" customWidth="1"/>
    <col min="3078" max="3078" width="15.42578125" style="394" customWidth="1"/>
    <col min="3079" max="3079" width="10.140625" style="394" customWidth="1"/>
    <col min="3080" max="3080" width="2" style="394" bestFit="1" customWidth="1"/>
    <col min="3081" max="3081" width="39.42578125" style="394" customWidth="1"/>
    <col min="3082" max="3328" width="9" style="394"/>
    <col min="3329" max="3329" width="7.42578125" style="394" bestFit="1" customWidth="1"/>
    <col min="3330" max="3330" width="37.42578125" style="394" customWidth="1"/>
    <col min="3331" max="3331" width="14.140625" style="394" customWidth="1"/>
    <col min="3332" max="3332" width="6.140625" style="394" customWidth="1"/>
    <col min="3333" max="3333" width="12.28515625" style="394" customWidth="1"/>
    <col min="3334" max="3334" width="15.42578125" style="394" customWidth="1"/>
    <col min="3335" max="3335" width="10.140625" style="394" customWidth="1"/>
    <col min="3336" max="3336" width="2" style="394" bestFit="1" customWidth="1"/>
    <col min="3337" max="3337" width="39.42578125" style="394" customWidth="1"/>
    <col min="3338" max="3584" width="9" style="394"/>
    <col min="3585" max="3585" width="7.42578125" style="394" bestFit="1" customWidth="1"/>
    <col min="3586" max="3586" width="37.42578125" style="394" customWidth="1"/>
    <col min="3587" max="3587" width="14.140625" style="394" customWidth="1"/>
    <col min="3588" max="3588" width="6.140625" style="394" customWidth="1"/>
    <col min="3589" max="3589" width="12.28515625" style="394" customWidth="1"/>
    <col min="3590" max="3590" width="15.42578125" style="394" customWidth="1"/>
    <col min="3591" max="3591" width="10.140625" style="394" customWidth="1"/>
    <col min="3592" max="3592" width="2" style="394" bestFit="1" customWidth="1"/>
    <col min="3593" max="3593" width="39.42578125" style="394" customWidth="1"/>
    <col min="3594" max="3840" width="9" style="394"/>
    <col min="3841" max="3841" width="7.42578125" style="394" bestFit="1" customWidth="1"/>
    <col min="3842" max="3842" width="37.42578125" style="394" customWidth="1"/>
    <col min="3843" max="3843" width="14.140625" style="394" customWidth="1"/>
    <col min="3844" max="3844" width="6.140625" style="394" customWidth="1"/>
    <col min="3845" max="3845" width="12.28515625" style="394" customWidth="1"/>
    <col min="3846" max="3846" width="15.42578125" style="394" customWidth="1"/>
    <col min="3847" max="3847" width="10.140625" style="394" customWidth="1"/>
    <col min="3848" max="3848" width="2" style="394" bestFit="1" customWidth="1"/>
    <col min="3849" max="3849" width="39.42578125" style="394" customWidth="1"/>
    <col min="3850" max="4096" width="9" style="394"/>
    <col min="4097" max="4097" width="7.42578125" style="394" bestFit="1" customWidth="1"/>
    <col min="4098" max="4098" width="37.42578125" style="394" customWidth="1"/>
    <col min="4099" max="4099" width="14.140625" style="394" customWidth="1"/>
    <col min="4100" max="4100" width="6.140625" style="394" customWidth="1"/>
    <col min="4101" max="4101" width="12.28515625" style="394" customWidth="1"/>
    <col min="4102" max="4102" width="15.42578125" style="394" customWidth="1"/>
    <col min="4103" max="4103" width="10.140625" style="394" customWidth="1"/>
    <col min="4104" max="4104" width="2" style="394" bestFit="1" customWidth="1"/>
    <col min="4105" max="4105" width="39.42578125" style="394" customWidth="1"/>
    <col min="4106" max="4352" width="9" style="394"/>
    <col min="4353" max="4353" width="7.42578125" style="394" bestFit="1" customWidth="1"/>
    <col min="4354" max="4354" width="37.42578125" style="394" customWidth="1"/>
    <col min="4355" max="4355" width="14.140625" style="394" customWidth="1"/>
    <col min="4356" max="4356" width="6.140625" style="394" customWidth="1"/>
    <col min="4357" max="4357" width="12.28515625" style="394" customWidth="1"/>
    <col min="4358" max="4358" width="15.42578125" style="394" customWidth="1"/>
    <col min="4359" max="4359" width="10.140625" style="394" customWidth="1"/>
    <col min="4360" max="4360" width="2" style="394" bestFit="1" customWidth="1"/>
    <col min="4361" max="4361" width="39.42578125" style="394" customWidth="1"/>
    <col min="4362" max="4608" width="9" style="394"/>
    <col min="4609" max="4609" width="7.42578125" style="394" bestFit="1" customWidth="1"/>
    <col min="4610" max="4610" width="37.42578125" style="394" customWidth="1"/>
    <col min="4611" max="4611" width="14.140625" style="394" customWidth="1"/>
    <col min="4612" max="4612" width="6.140625" style="394" customWidth="1"/>
    <col min="4613" max="4613" width="12.28515625" style="394" customWidth="1"/>
    <col min="4614" max="4614" width="15.42578125" style="394" customWidth="1"/>
    <col min="4615" max="4615" width="10.140625" style="394" customWidth="1"/>
    <col min="4616" max="4616" width="2" style="394" bestFit="1" customWidth="1"/>
    <col min="4617" max="4617" width="39.42578125" style="394" customWidth="1"/>
    <col min="4618" max="4864" width="9" style="394"/>
    <col min="4865" max="4865" width="7.42578125" style="394" bestFit="1" customWidth="1"/>
    <col min="4866" max="4866" width="37.42578125" style="394" customWidth="1"/>
    <col min="4867" max="4867" width="14.140625" style="394" customWidth="1"/>
    <col min="4868" max="4868" width="6.140625" style="394" customWidth="1"/>
    <col min="4869" max="4869" width="12.28515625" style="394" customWidth="1"/>
    <col min="4870" max="4870" width="15.42578125" style="394" customWidth="1"/>
    <col min="4871" max="4871" width="10.140625" style="394" customWidth="1"/>
    <col min="4872" max="4872" width="2" style="394" bestFit="1" customWidth="1"/>
    <col min="4873" max="4873" width="39.42578125" style="394" customWidth="1"/>
    <col min="4874" max="5120" width="9" style="394"/>
    <col min="5121" max="5121" width="7.42578125" style="394" bestFit="1" customWidth="1"/>
    <col min="5122" max="5122" width="37.42578125" style="394" customWidth="1"/>
    <col min="5123" max="5123" width="14.140625" style="394" customWidth="1"/>
    <col min="5124" max="5124" width="6.140625" style="394" customWidth="1"/>
    <col min="5125" max="5125" width="12.28515625" style="394" customWidth="1"/>
    <col min="5126" max="5126" width="15.42578125" style="394" customWidth="1"/>
    <col min="5127" max="5127" width="10.140625" style="394" customWidth="1"/>
    <col min="5128" max="5128" width="2" style="394" bestFit="1" customWidth="1"/>
    <col min="5129" max="5129" width="39.42578125" style="394" customWidth="1"/>
    <col min="5130" max="5376" width="9" style="394"/>
    <col min="5377" max="5377" width="7.42578125" style="394" bestFit="1" customWidth="1"/>
    <col min="5378" max="5378" width="37.42578125" style="394" customWidth="1"/>
    <col min="5379" max="5379" width="14.140625" style="394" customWidth="1"/>
    <col min="5380" max="5380" width="6.140625" style="394" customWidth="1"/>
    <col min="5381" max="5381" width="12.28515625" style="394" customWidth="1"/>
    <col min="5382" max="5382" width="15.42578125" style="394" customWidth="1"/>
    <col min="5383" max="5383" width="10.140625" style="394" customWidth="1"/>
    <col min="5384" max="5384" width="2" style="394" bestFit="1" customWidth="1"/>
    <col min="5385" max="5385" width="39.42578125" style="394" customWidth="1"/>
    <col min="5386" max="5632" width="9" style="394"/>
    <col min="5633" max="5633" width="7.42578125" style="394" bestFit="1" customWidth="1"/>
    <col min="5634" max="5634" width="37.42578125" style="394" customWidth="1"/>
    <col min="5635" max="5635" width="14.140625" style="394" customWidth="1"/>
    <col min="5636" max="5636" width="6.140625" style="394" customWidth="1"/>
    <col min="5637" max="5637" width="12.28515625" style="394" customWidth="1"/>
    <col min="5638" max="5638" width="15.42578125" style="394" customWidth="1"/>
    <col min="5639" max="5639" width="10.140625" style="394" customWidth="1"/>
    <col min="5640" max="5640" width="2" style="394" bestFit="1" customWidth="1"/>
    <col min="5641" max="5641" width="39.42578125" style="394" customWidth="1"/>
    <col min="5642" max="5888" width="9" style="394"/>
    <col min="5889" max="5889" width="7.42578125" style="394" bestFit="1" customWidth="1"/>
    <col min="5890" max="5890" width="37.42578125" style="394" customWidth="1"/>
    <col min="5891" max="5891" width="14.140625" style="394" customWidth="1"/>
    <col min="5892" max="5892" width="6.140625" style="394" customWidth="1"/>
    <col min="5893" max="5893" width="12.28515625" style="394" customWidth="1"/>
    <col min="5894" max="5894" width="15.42578125" style="394" customWidth="1"/>
    <col min="5895" max="5895" width="10.140625" style="394" customWidth="1"/>
    <col min="5896" max="5896" width="2" style="394" bestFit="1" customWidth="1"/>
    <col min="5897" max="5897" width="39.42578125" style="394" customWidth="1"/>
    <col min="5898" max="6144" width="9" style="394"/>
    <col min="6145" max="6145" width="7.42578125" style="394" bestFit="1" customWidth="1"/>
    <col min="6146" max="6146" width="37.42578125" style="394" customWidth="1"/>
    <col min="6147" max="6147" width="14.140625" style="394" customWidth="1"/>
    <col min="6148" max="6148" width="6.140625" style="394" customWidth="1"/>
    <col min="6149" max="6149" width="12.28515625" style="394" customWidth="1"/>
    <col min="6150" max="6150" width="15.42578125" style="394" customWidth="1"/>
    <col min="6151" max="6151" width="10.140625" style="394" customWidth="1"/>
    <col min="6152" max="6152" width="2" style="394" bestFit="1" customWidth="1"/>
    <col min="6153" max="6153" width="39.42578125" style="394" customWidth="1"/>
    <col min="6154" max="6400" width="9" style="394"/>
    <col min="6401" max="6401" width="7.42578125" style="394" bestFit="1" customWidth="1"/>
    <col min="6402" max="6402" width="37.42578125" style="394" customWidth="1"/>
    <col min="6403" max="6403" width="14.140625" style="394" customWidth="1"/>
    <col min="6404" max="6404" width="6.140625" style="394" customWidth="1"/>
    <col min="6405" max="6405" width="12.28515625" style="394" customWidth="1"/>
    <col min="6406" max="6406" width="15.42578125" style="394" customWidth="1"/>
    <col min="6407" max="6407" width="10.140625" style="394" customWidth="1"/>
    <col min="6408" max="6408" width="2" style="394" bestFit="1" customWidth="1"/>
    <col min="6409" max="6409" width="39.42578125" style="394" customWidth="1"/>
    <col min="6410" max="6656" width="9" style="394"/>
    <col min="6657" max="6657" width="7.42578125" style="394" bestFit="1" customWidth="1"/>
    <col min="6658" max="6658" width="37.42578125" style="394" customWidth="1"/>
    <col min="6659" max="6659" width="14.140625" style="394" customWidth="1"/>
    <col min="6660" max="6660" width="6.140625" style="394" customWidth="1"/>
    <col min="6661" max="6661" width="12.28515625" style="394" customWidth="1"/>
    <col min="6662" max="6662" width="15.42578125" style="394" customWidth="1"/>
    <col min="6663" max="6663" width="10.140625" style="394" customWidth="1"/>
    <col min="6664" max="6664" width="2" style="394" bestFit="1" customWidth="1"/>
    <col min="6665" max="6665" width="39.42578125" style="394" customWidth="1"/>
    <col min="6666" max="6912" width="9" style="394"/>
    <col min="6913" max="6913" width="7.42578125" style="394" bestFit="1" customWidth="1"/>
    <col min="6914" max="6914" width="37.42578125" style="394" customWidth="1"/>
    <col min="6915" max="6915" width="14.140625" style="394" customWidth="1"/>
    <col min="6916" max="6916" width="6.140625" style="394" customWidth="1"/>
    <col min="6917" max="6917" width="12.28515625" style="394" customWidth="1"/>
    <col min="6918" max="6918" width="15.42578125" style="394" customWidth="1"/>
    <col min="6919" max="6919" width="10.140625" style="394" customWidth="1"/>
    <col min="6920" max="6920" width="2" style="394" bestFit="1" customWidth="1"/>
    <col min="6921" max="6921" width="39.42578125" style="394" customWidth="1"/>
    <col min="6922" max="7168" width="9" style="394"/>
    <col min="7169" max="7169" width="7.42578125" style="394" bestFit="1" customWidth="1"/>
    <col min="7170" max="7170" width="37.42578125" style="394" customWidth="1"/>
    <col min="7171" max="7171" width="14.140625" style="394" customWidth="1"/>
    <col min="7172" max="7172" width="6.140625" style="394" customWidth="1"/>
    <col min="7173" max="7173" width="12.28515625" style="394" customWidth="1"/>
    <col min="7174" max="7174" width="15.42578125" style="394" customWidth="1"/>
    <col min="7175" max="7175" width="10.140625" style="394" customWidth="1"/>
    <col min="7176" max="7176" width="2" style="394" bestFit="1" customWidth="1"/>
    <col min="7177" max="7177" width="39.42578125" style="394" customWidth="1"/>
    <col min="7178" max="7424" width="9" style="394"/>
    <col min="7425" max="7425" width="7.42578125" style="394" bestFit="1" customWidth="1"/>
    <col min="7426" max="7426" width="37.42578125" style="394" customWidth="1"/>
    <col min="7427" max="7427" width="14.140625" style="394" customWidth="1"/>
    <col min="7428" max="7428" width="6.140625" style="394" customWidth="1"/>
    <col min="7429" max="7429" width="12.28515625" style="394" customWidth="1"/>
    <col min="7430" max="7430" width="15.42578125" style="394" customWidth="1"/>
    <col min="7431" max="7431" width="10.140625" style="394" customWidth="1"/>
    <col min="7432" max="7432" width="2" style="394" bestFit="1" customWidth="1"/>
    <col min="7433" max="7433" width="39.42578125" style="394" customWidth="1"/>
    <col min="7434" max="7680" width="9" style="394"/>
    <col min="7681" max="7681" width="7.42578125" style="394" bestFit="1" customWidth="1"/>
    <col min="7682" max="7682" width="37.42578125" style="394" customWidth="1"/>
    <col min="7683" max="7683" width="14.140625" style="394" customWidth="1"/>
    <col min="7684" max="7684" width="6.140625" style="394" customWidth="1"/>
    <col min="7685" max="7685" width="12.28515625" style="394" customWidth="1"/>
    <col min="7686" max="7686" width="15.42578125" style="394" customWidth="1"/>
    <col min="7687" max="7687" width="10.140625" style="394" customWidth="1"/>
    <col min="7688" max="7688" width="2" style="394" bestFit="1" customWidth="1"/>
    <col min="7689" max="7689" width="39.42578125" style="394" customWidth="1"/>
    <col min="7690" max="7936" width="9" style="394"/>
    <col min="7937" max="7937" width="7.42578125" style="394" bestFit="1" customWidth="1"/>
    <col min="7938" max="7938" width="37.42578125" style="394" customWidth="1"/>
    <col min="7939" max="7939" width="14.140625" style="394" customWidth="1"/>
    <col min="7940" max="7940" width="6.140625" style="394" customWidth="1"/>
    <col min="7941" max="7941" width="12.28515625" style="394" customWidth="1"/>
    <col min="7942" max="7942" width="15.42578125" style="394" customWidth="1"/>
    <col min="7943" max="7943" width="10.140625" style="394" customWidth="1"/>
    <col min="7944" max="7944" width="2" style="394" bestFit="1" customWidth="1"/>
    <col min="7945" max="7945" width="39.42578125" style="394" customWidth="1"/>
    <col min="7946" max="8192" width="9" style="394"/>
    <col min="8193" max="8193" width="7.42578125" style="394" bestFit="1" customWidth="1"/>
    <col min="8194" max="8194" width="37.42578125" style="394" customWidth="1"/>
    <col min="8195" max="8195" width="14.140625" style="394" customWidth="1"/>
    <col min="8196" max="8196" width="6.140625" style="394" customWidth="1"/>
    <col min="8197" max="8197" width="12.28515625" style="394" customWidth="1"/>
    <col min="8198" max="8198" width="15.42578125" style="394" customWidth="1"/>
    <col min="8199" max="8199" width="10.140625" style="394" customWidth="1"/>
    <col min="8200" max="8200" width="2" style="394" bestFit="1" customWidth="1"/>
    <col min="8201" max="8201" width="39.42578125" style="394" customWidth="1"/>
    <col min="8202" max="8448" width="9" style="394"/>
    <col min="8449" max="8449" width="7.42578125" style="394" bestFit="1" customWidth="1"/>
    <col min="8450" max="8450" width="37.42578125" style="394" customWidth="1"/>
    <col min="8451" max="8451" width="14.140625" style="394" customWidth="1"/>
    <col min="8452" max="8452" width="6.140625" style="394" customWidth="1"/>
    <col min="8453" max="8453" width="12.28515625" style="394" customWidth="1"/>
    <col min="8454" max="8454" width="15.42578125" style="394" customWidth="1"/>
    <col min="8455" max="8455" width="10.140625" style="394" customWidth="1"/>
    <col min="8456" max="8456" width="2" style="394" bestFit="1" customWidth="1"/>
    <col min="8457" max="8457" width="39.42578125" style="394" customWidth="1"/>
    <col min="8458" max="8704" width="9" style="394"/>
    <col min="8705" max="8705" width="7.42578125" style="394" bestFit="1" customWidth="1"/>
    <col min="8706" max="8706" width="37.42578125" style="394" customWidth="1"/>
    <col min="8707" max="8707" width="14.140625" style="394" customWidth="1"/>
    <col min="8708" max="8708" width="6.140625" style="394" customWidth="1"/>
    <col min="8709" max="8709" width="12.28515625" style="394" customWidth="1"/>
    <col min="8710" max="8710" width="15.42578125" style="394" customWidth="1"/>
    <col min="8711" max="8711" width="10.140625" style="394" customWidth="1"/>
    <col min="8712" max="8712" width="2" style="394" bestFit="1" customWidth="1"/>
    <col min="8713" max="8713" width="39.42578125" style="394" customWidth="1"/>
    <col min="8714" max="8960" width="9" style="394"/>
    <col min="8961" max="8961" width="7.42578125" style="394" bestFit="1" customWidth="1"/>
    <col min="8962" max="8962" width="37.42578125" style="394" customWidth="1"/>
    <col min="8963" max="8963" width="14.140625" style="394" customWidth="1"/>
    <col min="8964" max="8964" width="6.140625" style="394" customWidth="1"/>
    <col min="8965" max="8965" width="12.28515625" style="394" customWidth="1"/>
    <col min="8966" max="8966" width="15.42578125" style="394" customWidth="1"/>
    <col min="8967" max="8967" width="10.140625" style="394" customWidth="1"/>
    <col min="8968" max="8968" width="2" style="394" bestFit="1" customWidth="1"/>
    <col min="8969" max="8969" width="39.42578125" style="394" customWidth="1"/>
    <col min="8970" max="9216" width="9" style="394"/>
    <col min="9217" max="9217" width="7.42578125" style="394" bestFit="1" customWidth="1"/>
    <col min="9218" max="9218" width="37.42578125" style="394" customWidth="1"/>
    <col min="9219" max="9219" width="14.140625" style="394" customWidth="1"/>
    <col min="9220" max="9220" width="6.140625" style="394" customWidth="1"/>
    <col min="9221" max="9221" width="12.28515625" style="394" customWidth="1"/>
    <col min="9222" max="9222" width="15.42578125" style="394" customWidth="1"/>
    <col min="9223" max="9223" width="10.140625" style="394" customWidth="1"/>
    <col min="9224" max="9224" width="2" style="394" bestFit="1" customWidth="1"/>
    <col min="9225" max="9225" width="39.42578125" style="394" customWidth="1"/>
    <col min="9226" max="9472" width="9" style="394"/>
    <col min="9473" max="9473" width="7.42578125" style="394" bestFit="1" customWidth="1"/>
    <col min="9474" max="9474" width="37.42578125" style="394" customWidth="1"/>
    <col min="9475" max="9475" width="14.140625" style="394" customWidth="1"/>
    <col min="9476" max="9476" width="6.140625" style="394" customWidth="1"/>
    <col min="9477" max="9477" width="12.28515625" style="394" customWidth="1"/>
    <col min="9478" max="9478" width="15.42578125" style="394" customWidth="1"/>
    <col min="9479" max="9479" width="10.140625" style="394" customWidth="1"/>
    <col min="9480" max="9480" width="2" style="394" bestFit="1" customWidth="1"/>
    <col min="9481" max="9481" width="39.42578125" style="394" customWidth="1"/>
    <col min="9482" max="9728" width="9" style="394"/>
    <col min="9729" max="9729" width="7.42578125" style="394" bestFit="1" customWidth="1"/>
    <col min="9730" max="9730" width="37.42578125" style="394" customWidth="1"/>
    <col min="9731" max="9731" width="14.140625" style="394" customWidth="1"/>
    <col min="9732" max="9732" width="6.140625" style="394" customWidth="1"/>
    <col min="9733" max="9733" width="12.28515625" style="394" customWidth="1"/>
    <col min="9734" max="9734" width="15.42578125" style="394" customWidth="1"/>
    <col min="9735" max="9735" width="10.140625" style="394" customWidth="1"/>
    <col min="9736" max="9736" width="2" style="394" bestFit="1" customWidth="1"/>
    <col min="9737" max="9737" width="39.42578125" style="394" customWidth="1"/>
    <col min="9738" max="9984" width="9" style="394"/>
    <col min="9985" max="9985" width="7.42578125" style="394" bestFit="1" customWidth="1"/>
    <col min="9986" max="9986" width="37.42578125" style="394" customWidth="1"/>
    <col min="9987" max="9987" width="14.140625" style="394" customWidth="1"/>
    <col min="9988" max="9988" width="6.140625" style="394" customWidth="1"/>
    <col min="9989" max="9989" width="12.28515625" style="394" customWidth="1"/>
    <col min="9990" max="9990" width="15.42578125" style="394" customWidth="1"/>
    <col min="9991" max="9991" width="10.140625" style="394" customWidth="1"/>
    <col min="9992" max="9992" width="2" style="394" bestFit="1" customWidth="1"/>
    <col min="9993" max="9993" width="39.42578125" style="394" customWidth="1"/>
    <col min="9994" max="10240" width="9" style="394"/>
    <col min="10241" max="10241" width="7.42578125" style="394" bestFit="1" customWidth="1"/>
    <col min="10242" max="10242" width="37.42578125" style="394" customWidth="1"/>
    <col min="10243" max="10243" width="14.140625" style="394" customWidth="1"/>
    <col min="10244" max="10244" width="6.140625" style="394" customWidth="1"/>
    <col min="10245" max="10245" width="12.28515625" style="394" customWidth="1"/>
    <col min="10246" max="10246" width="15.42578125" style="394" customWidth="1"/>
    <col min="10247" max="10247" width="10.140625" style="394" customWidth="1"/>
    <col min="10248" max="10248" width="2" style="394" bestFit="1" customWidth="1"/>
    <col min="10249" max="10249" width="39.42578125" style="394" customWidth="1"/>
    <col min="10250" max="10496" width="9" style="394"/>
    <col min="10497" max="10497" width="7.42578125" style="394" bestFit="1" customWidth="1"/>
    <col min="10498" max="10498" width="37.42578125" style="394" customWidth="1"/>
    <col min="10499" max="10499" width="14.140625" style="394" customWidth="1"/>
    <col min="10500" max="10500" width="6.140625" style="394" customWidth="1"/>
    <col min="10501" max="10501" width="12.28515625" style="394" customWidth="1"/>
    <col min="10502" max="10502" width="15.42578125" style="394" customWidth="1"/>
    <col min="10503" max="10503" width="10.140625" style="394" customWidth="1"/>
    <col min="10504" max="10504" width="2" style="394" bestFit="1" customWidth="1"/>
    <col min="10505" max="10505" width="39.42578125" style="394" customWidth="1"/>
    <col min="10506" max="10752" width="9" style="394"/>
    <col min="10753" max="10753" width="7.42578125" style="394" bestFit="1" customWidth="1"/>
    <col min="10754" max="10754" width="37.42578125" style="394" customWidth="1"/>
    <col min="10755" max="10755" width="14.140625" style="394" customWidth="1"/>
    <col min="10756" max="10756" width="6.140625" style="394" customWidth="1"/>
    <col min="10757" max="10757" width="12.28515625" style="394" customWidth="1"/>
    <col min="10758" max="10758" width="15.42578125" style="394" customWidth="1"/>
    <col min="10759" max="10759" width="10.140625" style="394" customWidth="1"/>
    <col min="10760" max="10760" width="2" style="394" bestFit="1" customWidth="1"/>
    <col min="10761" max="10761" width="39.42578125" style="394" customWidth="1"/>
    <col min="10762" max="11008" width="9" style="394"/>
    <col min="11009" max="11009" width="7.42578125" style="394" bestFit="1" customWidth="1"/>
    <col min="11010" max="11010" width="37.42578125" style="394" customWidth="1"/>
    <col min="11011" max="11011" width="14.140625" style="394" customWidth="1"/>
    <col min="11012" max="11012" width="6.140625" style="394" customWidth="1"/>
    <col min="11013" max="11013" width="12.28515625" style="394" customWidth="1"/>
    <col min="11014" max="11014" width="15.42578125" style="394" customWidth="1"/>
    <col min="11015" max="11015" width="10.140625" style="394" customWidth="1"/>
    <col min="11016" max="11016" width="2" style="394" bestFit="1" customWidth="1"/>
    <col min="11017" max="11017" width="39.42578125" style="394" customWidth="1"/>
    <col min="11018" max="11264" width="9" style="394"/>
    <col min="11265" max="11265" width="7.42578125" style="394" bestFit="1" customWidth="1"/>
    <col min="11266" max="11266" width="37.42578125" style="394" customWidth="1"/>
    <col min="11267" max="11267" width="14.140625" style="394" customWidth="1"/>
    <col min="11268" max="11268" width="6.140625" style="394" customWidth="1"/>
    <col min="11269" max="11269" width="12.28515625" style="394" customWidth="1"/>
    <col min="11270" max="11270" width="15.42578125" style="394" customWidth="1"/>
    <col min="11271" max="11271" width="10.140625" style="394" customWidth="1"/>
    <col min="11272" max="11272" width="2" style="394" bestFit="1" customWidth="1"/>
    <col min="11273" max="11273" width="39.42578125" style="394" customWidth="1"/>
    <col min="11274" max="11520" width="9" style="394"/>
    <col min="11521" max="11521" width="7.42578125" style="394" bestFit="1" customWidth="1"/>
    <col min="11522" max="11522" width="37.42578125" style="394" customWidth="1"/>
    <col min="11523" max="11523" width="14.140625" style="394" customWidth="1"/>
    <col min="11524" max="11524" width="6.140625" style="394" customWidth="1"/>
    <col min="11525" max="11525" width="12.28515625" style="394" customWidth="1"/>
    <col min="11526" max="11526" width="15.42578125" style="394" customWidth="1"/>
    <col min="11527" max="11527" width="10.140625" style="394" customWidth="1"/>
    <col min="11528" max="11528" width="2" style="394" bestFit="1" customWidth="1"/>
    <col min="11529" max="11529" width="39.42578125" style="394" customWidth="1"/>
    <col min="11530" max="11776" width="9" style="394"/>
    <col min="11777" max="11777" width="7.42578125" style="394" bestFit="1" customWidth="1"/>
    <col min="11778" max="11778" width="37.42578125" style="394" customWidth="1"/>
    <col min="11779" max="11779" width="14.140625" style="394" customWidth="1"/>
    <col min="11780" max="11780" width="6.140625" style="394" customWidth="1"/>
    <col min="11781" max="11781" width="12.28515625" style="394" customWidth="1"/>
    <col min="11782" max="11782" width="15.42578125" style="394" customWidth="1"/>
    <col min="11783" max="11783" width="10.140625" style="394" customWidth="1"/>
    <col min="11784" max="11784" width="2" style="394" bestFit="1" customWidth="1"/>
    <col min="11785" max="11785" width="39.42578125" style="394" customWidth="1"/>
    <col min="11786" max="12032" width="9" style="394"/>
    <col min="12033" max="12033" width="7.42578125" style="394" bestFit="1" customWidth="1"/>
    <col min="12034" max="12034" width="37.42578125" style="394" customWidth="1"/>
    <col min="12035" max="12035" width="14.140625" style="394" customWidth="1"/>
    <col min="12036" max="12036" width="6.140625" style="394" customWidth="1"/>
    <col min="12037" max="12037" width="12.28515625" style="394" customWidth="1"/>
    <col min="12038" max="12038" width="15.42578125" style="394" customWidth="1"/>
    <col min="12039" max="12039" width="10.140625" style="394" customWidth="1"/>
    <col min="12040" max="12040" width="2" style="394" bestFit="1" customWidth="1"/>
    <col min="12041" max="12041" width="39.42578125" style="394" customWidth="1"/>
    <col min="12042" max="12288" width="9" style="394"/>
    <col min="12289" max="12289" width="7.42578125" style="394" bestFit="1" customWidth="1"/>
    <col min="12290" max="12290" width="37.42578125" style="394" customWidth="1"/>
    <col min="12291" max="12291" width="14.140625" style="394" customWidth="1"/>
    <col min="12292" max="12292" width="6.140625" style="394" customWidth="1"/>
    <col min="12293" max="12293" width="12.28515625" style="394" customWidth="1"/>
    <col min="12294" max="12294" width="15.42578125" style="394" customWidth="1"/>
    <col min="12295" max="12295" width="10.140625" style="394" customWidth="1"/>
    <col min="12296" max="12296" width="2" style="394" bestFit="1" customWidth="1"/>
    <col min="12297" max="12297" width="39.42578125" style="394" customWidth="1"/>
    <col min="12298" max="12544" width="9" style="394"/>
    <col min="12545" max="12545" width="7.42578125" style="394" bestFit="1" customWidth="1"/>
    <col min="12546" max="12546" width="37.42578125" style="394" customWidth="1"/>
    <col min="12547" max="12547" width="14.140625" style="394" customWidth="1"/>
    <col min="12548" max="12548" width="6.140625" style="394" customWidth="1"/>
    <col min="12549" max="12549" width="12.28515625" style="394" customWidth="1"/>
    <col min="12550" max="12550" width="15.42578125" style="394" customWidth="1"/>
    <col min="12551" max="12551" width="10.140625" style="394" customWidth="1"/>
    <col min="12552" max="12552" width="2" style="394" bestFit="1" customWidth="1"/>
    <col min="12553" max="12553" width="39.42578125" style="394" customWidth="1"/>
    <col min="12554" max="12800" width="9" style="394"/>
    <col min="12801" max="12801" width="7.42578125" style="394" bestFit="1" customWidth="1"/>
    <col min="12802" max="12802" width="37.42578125" style="394" customWidth="1"/>
    <col min="12803" max="12803" width="14.140625" style="394" customWidth="1"/>
    <col min="12804" max="12804" width="6.140625" style="394" customWidth="1"/>
    <col min="12805" max="12805" width="12.28515625" style="394" customWidth="1"/>
    <col min="12806" max="12806" width="15.42578125" style="394" customWidth="1"/>
    <col min="12807" max="12807" width="10.140625" style="394" customWidth="1"/>
    <col min="12808" max="12808" width="2" style="394" bestFit="1" customWidth="1"/>
    <col min="12809" max="12809" width="39.42578125" style="394" customWidth="1"/>
    <col min="12810" max="13056" width="9" style="394"/>
    <col min="13057" max="13057" width="7.42578125" style="394" bestFit="1" customWidth="1"/>
    <col min="13058" max="13058" width="37.42578125" style="394" customWidth="1"/>
    <col min="13059" max="13059" width="14.140625" style="394" customWidth="1"/>
    <col min="13060" max="13060" width="6.140625" style="394" customWidth="1"/>
    <col min="13061" max="13061" width="12.28515625" style="394" customWidth="1"/>
    <col min="13062" max="13062" width="15.42578125" style="394" customWidth="1"/>
    <col min="13063" max="13063" width="10.140625" style="394" customWidth="1"/>
    <col min="13064" max="13064" width="2" style="394" bestFit="1" customWidth="1"/>
    <col min="13065" max="13065" width="39.42578125" style="394" customWidth="1"/>
    <col min="13066" max="13312" width="9" style="394"/>
    <col min="13313" max="13313" width="7.42578125" style="394" bestFit="1" customWidth="1"/>
    <col min="13314" max="13314" width="37.42578125" style="394" customWidth="1"/>
    <col min="13315" max="13315" width="14.140625" style="394" customWidth="1"/>
    <col min="13316" max="13316" width="6.140625" style="394" customWidth="1"/>
    <col min="13317" max="13317" width="12.28515625" style="394" customWidth="1"/>
    <col min="13318" max="13318" width="15.42578125" style="394" customWidth="1"/>
    <col min="13319" max="13319" width="10.140625" style="394" customWidth="1"/>
    <col min="13320" max="13320" width="2" style="394" bestFit="1" customWidth="1"/>
    <col min="13321" max="13321" width="39.42578125" style="394" customWidth="1"/>
    <col min="13322" max="13568" width="9" style="394"/>
    <col min="13569" max="13569" width="7.42578125" style="394" bestFit="1" customWidth="1"/>
    <col min="13570" max="13570" width="37.42578125" style="394" customWidth="1"/>
    <col min="13571" max="13571" width="14.140625" style="394" customWidth="1"/>
    <col min="13572" max="13572" width="6.140625" style="394" customWidth="1"/>
    <col min="13573" max="13573" width="12.28515625" style="394" customWidth="1"/>
    <col min="13574" max="13574" width="15.42578125" style="394" customWidth="1"/>
    <col min="13575" max="13575" width="10.140625" style="394" customWidth="1"/>
    <col min="13576" max="13576" width="2" style="394" bestFit="1" customWidth="1"/>
    <col min="13577" max="13577" width="39.42578125" style="394" customWidth="1"/>
    <col min="13578" max="13824" width="9" style="394"/>
    <col min="13825" max="13825" width="7.42578125" style="394" bestFit="1" customWidth="1"/>
    <col min="13826" max="13826" width="37.42578125" style="394" customWidth="1"/>
    <col min="13827" max="13827" width="14.140625" style="394" customWidth="1"/>
    <col min="13828" max="13828" width="6.140625" style="394" customWidth="1"/>
    <col min="13829" max="13829" width="12.28515625" style="394" customWidth="1"/>
    <col min="13830" max="13830" width="15.42578125" style="394" customWidth="1"/>
    <col min="13831" max="13831" width="10.140625" style="394" customWidth="1"/>
    <col min="13832" max="13832" width="2" style="394" bestFit="1" customWidth="1"/>
    <col min="13833" max="13833" width="39.42578125" style="394" customWidth="1"/>
    <col min="13834" max="14080" width="9" style="394"/>
    <col min="14081" max="14081" width="7.42578125" style="394" bestFit="1" customWidth="1"/>
    <col min="14082" max="14082" width="37.42578125" style="394" customWidth="1"/>
    <col min="14083" max="14083" width="14.140625" style="394" customWidth="1"/>
    <col min="14084" max="14084" width="6.140625" style="394" customWidth="1"/>
    <col min="14085" max="14085" width="12.28515625" style="394" customWidth="1"/>
    <col min="14086" max="14086" width="15.42578125" style="394" customWidth="1"/>
    <col min="14087" max="14087" width="10.140625" style="394" customWidth="1"/>
    <col min="14088" max="14088" width="2" style="394" bestFit="1" customWidth="1"/>
    <col min="14089" max="14089" width="39.42578125" style="394" customWidth="1"/>
    <col min="14090" max="14336" width="9" style="394"/>
    <col min="14337" max="14337" width="7.42578125" style="394" bestFit="1" customWidth="1"/>
    <col min="14338" max="14338" width="37.42578125" style="394" customWidth="1"/>
    <col min="14339" max="14339" width="14.140625" style="394" customWidth="1"/>
    <col min="14340" max="14340" width="6.140625" style="394" customWidth="1"/>
    <col min="14341" max="14341" width="12.28515625" style="394" customWidth="1"/>
    <col min="14342" max="14342" width="15.42578125" style="394" customWidth="1"/>
    <col min="14343" max="14343" width="10.140625" style="394" customWidth="1"/>
    <col min="14344" max="14344" width="2" style="394" bestFit="1" customWidth="1"/>
    <col min="14345" max="14345" width="39.42578125" style="394" customWidth="1"/>
    <col min="14346" max="14592" width="9" style="394"/>
    <col min="14593" max="14593" width="7.42578125" style="394" bestFit="1" customWidth="1"/>
    <col min="14594" max="14594" width="37.42578125" style="394" customWidth="1"/>
    <col min="14595" max="14595" width="14.140625" style="394" customWidth="1"/>
    <col min="14596" max="14596" width="6.140625" style="394" customWidth="1"/>
    <col min="14597" max="14597" width="12.28515625" style="394" customWidth="1"/>
    <col min="14598" max="14598" width="15.42578125" style="394" customWidth="1"/>
    <col min="14599" max="14599" width="10.140625" style="394" customWidth="1"/>
    <col min="14600" max="14600" width="2" style="394" bestFit="1" customWidth="1"/>
    <col min="14601" max="14601" width="39.42578125" style="394" customWidth="1"/>
    <col min="14602" max="14848" width="9" style="394"/>
    <col min="14849" max="14849" width="7.42578125" style="394" bestFit="1" customWidth="1"/>
    <col min="14850" max="14850" width="37.42578125" style="394" customWidth="1"/>
    <col min="14851" max="14851" width="14.140625" style="394" customWidth="1"/>
    <col min="14852" max="14852" width="6.140625" style="394" customWidth="1"/>
    <col min="14853" max="14853" width="12.28515625" style="394" customWidth="1"/>
    <col min="14854" max="14854" width="15.42578125" style="394" customWidth="1"/>
    <col min="14855" max="14855" width="10.140625" style="394" customWidth="1"/>
    <col min="14856" max="14856" width="2" style="394" bestFit="1" customWidth="1"/>
    <col min="14857" max="14857" width="39.42578125" style="394" customWidth="1"/>
    <col min="14858" max="15104" width="9" style="394"/>
    <col min="15105" max="15105" width="7.42578125" style="394" bestFit="1" customWidth="1"/>
    <col min="15106" max="15106" width="37.42578125" style="394" customWidth="1"/>
    <col min="15107" max="15107" width="14.140625" style="394" customWidth="1"/>
    <col min="15108" max="15108" width="6.140625" style="394" customWidth="1"/>
    <col min="15109" max="15109" width="12.28515625" style="394" customWidth="1"/>
    <col min="15110" max="15110" width="15.42578125" style="394" customWidth="1"/>
    <col min="15111" max="15111" width="10.140625" style="394" customWidth="1"/>
    <col min="15112" max="15112" width="2" style="394" bestFit="1" customWidth="1"/>
    <col min="15113" max="15113" width="39.42578125" style="394" customWidth="1"/>
    <col min="15114" max="15360" width="9" style="394"/>
    <col min="15361" max="15361" width="7.42578125" style="394" bestFit="1" customWidth="1"/>
    <col min="15362" max="15362" width="37.42578125" style="394" customWidth="1"/>
    <col min="15363" max="15363" width="14.140625" style="394" customWidth="1"/>
    <col min="15364" max="15364" width="6.140625" style="394" customWidth="1"/>
    <col min="15365" max="15365" width="12.28515625" style="394" customWidth="1"/>
    <col min="15366" max="15366" width="15.42578125" style="394" customWidth="1"/>
    <col min="15367" max="15367" width="10.140625" style="394" customWidth="1"/>
    <col min="15368" max="15368" width="2" style="394" bestFit="1" customWidth="1"/>
    <col min="15369" max="15369" width="39.42578125" style="394" customWidth="1"/>
    <col min="15370" max="15616" width="9" style="394"/>
    <col min="15617" max="15617" width="7.42578125" style="394" bestFit="1" customWidth="1"/>
    <col min="15618" max="15618" width="37.42578125" style="394" customWidth="1"/>
    <col min="15619" max="15619" width="14.140625" style="394" customWidth="1"/>
    <col min="15620" max="15620" width="6.140625" style="394" customWidth="1"/>
    <col min="15621" max="15621" width="12.28515625" style="394" customWidth="1"/>
    <col min="15622" max="15622" width="15.42578125" style="394" customWidth="1"/>
    <col min="15623" max="15623" width="10.140625" style="394" customWidth="1"/>
    <col min="15624" max="15624" width="2" style="394" bestFit="1" customWidth="1"/>
    <col min="15625" max="15625" width="39.42578125" style="394" customWidth="1"/>
    <col min="15626" max="15872" width="9" style="394"/>
    <col min="15873" max="15873" width="7.42578125" style="394" bestFit="1" customWidth="1"/>
    <col min="15874" max="15874" width="37.42578125" style="394" customWidth="1"/>
    <col min="15875" max="15875" width="14.140625" style="394" customWidth="1"/>
    <col min="15876" max="15876" width="6.140625" style="394" customWidth="1"/>
    <col min="15877" max="15877" width="12.28515625" style="394" customWidth="1"/>
    <col min="15878" max="15878" width="15.42578125" style="394" customWidth="1"/>
    <col min="15879" max="15879" width="10.140625" style="394" customWidth="1"/>
    <col min="15880" max="15880" width="2" style="394" bestFit="1" customWidth="1"/>
    <col min="15881" max="15881" width="39.42578125" style="394" customWidth="1"/>
    <col min="15882" max="16128" width="9" style="394"/>
    <col min="16129" max="16129" width="7.42578125" style="394" bestFit="1" customWidth="1"/>
    <col min="16130" max="16130" width="37.42578125" style="394" customWidth="1"/>
    <col min="16131" max="16131" width="14.140625" style="394" customWidth="1"/>
    <col min="16132" max="16132" width="6.140625" style="394" customWidth="1"/>
    <col min="16133" max="16133" width="12.28515625" style="394" customWidth="1"/>
    <col min="16134" max="16134" width="15.42578125" style="394" customWidth="1"/>
    <col min="16135" max="16135" width="10.140625" style="394" customWidth="1"/>
    <col min="16136" max="16136" width="2" style="394" bestFit="1" customWidth="1"/>
    <col min="16137" max="16137" width="39.42578125" style="394" customWidth="1"/>
    <col min="16138" max="16384" width="9" style="394"/>
  </cols>
  <sheetData>
    <row r="1" spans="1:8" s="342" customFormat="1" ht="25.5">
      <c r="A1" s="337"/>
      <c r="B1" s="338" t="s">
        <v>241</v>
      </c>
      <c r="C1" s="463" t="s">
        <v>242</v>
      </c>
      <c r="D1" s="340" t="s">
        <v>243</v>
      </c>
      <c r="E1" s="339" t="s">
        <v>244</v>
      </c>
      <c r="F1" s="341" t="s">
        <v>245</v>
      </c>
    </row>
    <row r="2" spans="1:8" s="346" customFormat="1">
      <c r="A2" s="343"/>
      <c r="B2" s="344"/>
      <c r="C2" s="454"/>
      <c r="E2" s="345"/>
      <c r="F2" s="347"/>
    </row>
    <row r="3" spans="1:8" s="350" customFormat="1">
      <c r="A3" s="348" t="s">
        <v>179</v>
      </c>
      <c r="B3" s="349" t="s">
        <v>178</v>
      </c>
      <c r="C3" s="464"/>
      <c r="F3" s="351"/>
    </row>
    <row r="4" spans="1:8" s="352" customFormat="1">
      <c r="A4" s="343"/>
      <c r="B4" s="349"/>
      <c r="C4" s="465"/>
      <c r="F4" s="353"/>
    </row>
    <row r="5" spans="1:8" s="352" customFormat="1">
      <c r="A5" s="354" t="s">
        <v>246</v>
      </c>
      <c r="B5" s="355" t="s">
        <v>247</v>
      </c>
      <c r="C5" s="465"/>
      <c r="F5" s="353"/>
    </row>
    <row r="6" spans="1:8" s="346" customFormat="1">
      <c r="A6" s="343"/>
      <c r="B6" s="344"/>
      <c r="C6" s="466"/>
      <c r="F6" s="347"/>
    </row>
    <row r="7" spans="1:8" s="346" customFormat="1" ht="25.5">
      <c r="A7" s="343" t="s">
        <v>248</v>
      </c>
      <c r="B7" s="344" t="s">
        <v>249</v>
      </c>
      <c r="C7" s="466"/>
      <c r="F7" s="347"/>
    </row>
    <row r="8" spans="1:8" s="346" customFormat="1">
      <c r="A8" s="343"/>
      <c r="B8" s="344"/>
      <c r="C8" s="454">
        <f>K85+K87</f>
        <v>52.43</v>
      </c>
      <c r="D8" s="346" t="s">
        <v>115</v>
      </c>
      <c r="E8" s="356"/>
      <c r="F8" s="357">
        <f>C8*E8</f>
        <v>0</v>
      </c>
      <c r="G8" s="345"/>
      <c r="H8" s="345"/>
    </row>
    <row r="9" spans="1:8" s="346" customFormat="1">
      <c r="A9" s="343"/>
      <c r="B9" s="344"/>
      <c r="C9" s="456"/>
      <c r="E9" s="356"/>
      <c r="F9" s="357"/>
      <c r="G9" s="345"/>
      <c r="H9" s="345"/>
    </row>
    <row r="10" spans="1:8" s="352" customFormat="1">
      <c r="A10" s="354" t="s">
        <v>246</v>
      </c>
      <c r="B10" s="355" t="s">
        <v>250</v>
      </c>
      <c r="C10" s="455"/>
      <c r="E10" s="360"/>
      <c r="F10" s="361">
        <f>SUM(F7:F9)</f>
        <v>0</v>
      </c>
      <c r="G10" s="345"/>
    </row>
    <row r="11" spans="1:8" s="352" customFormat="1">
      <c r="A11" s="354"/>
      <c r="B11" s="355"/>
      <c r="C11" s="455"/>
      <c r="E11" s="360"/>
      <c r="F11" s="361"/>
      <c r="G11" s="345"/>
    </row>
    <row r="12" spans="1:8" s="352" customFormat="1">
      <c r="A12" s="354"/>
      <c r="B12" s="355"/>
      <c r="C12" s="455"/>
      <c r="E12" s="360"/>
      <c r="F12" s="361"/>
      <c r="G12" s="345"/>
    </row>
    <row r="13" spans="1:8" s="352" customFormat="1" ht="25.5">
      <c r="A13" s="354" t="s">
        <v>251</v>
      </c>
      <c r="B13" s="355" t="s">
        <v>814</v>
      </c>
      <c r="C13" s="455"/>
      <c r="E13" s="360"/>
      <c r="F13" s="361"/>
      <c r="G13" s="345"/>
    </row>
    <row r="14" spans="1:8" s="346" customFormat="1" ht="38.25">
      <c r="A14" s="364" t="s">
        <v>253</v>
      </c>
      <c r="B14" s="344" t="s">
        <v>254</v>
      </c>
      <c r="C14" s="454"/>
      <c r="E14" s="356"/>
      <c r="F14" s="357"/>
      <c r="G14" s="345"/>
      <c r="H14" s="345"/>
    </row>
    <row r="15" spans="1:8" s="346" customFormat="1">
      <c r="A15" s="364"/>
      <c r="B15" s="344"/>
      <c r="C15" s="454">
        <f>ROUND(C8/20,0)</f>
        <v>3</v>
      </c>
      <c r="D15" s="346" t="s">
        <v>5</v>
      </c>
      <c r="E15" s="356"/>
      <c r="F15" s="357">
        <f>C15*E15</f>
        <v>0</v>
      </c>
      <c r="G15" s="345"/>
      <c r="H15" s="345"/>
    </row>
    <row r="16" spans="1:8" s="346" customFormat="1">
      <c r="A16" s="364"/>
      <c r="B16" s="344"/>
      <c r="C16" s="454"/>
      <c r="E16" s="356"/>
      <c r="F16" s="357"/>
      <c r="G16" s="345"/>
      <c r="H16" s="345"/>
    </row>
    <row r="17" spans="1:256" s="352" customFormat="1">
      <c r="A17" s="354" t="s">
        <v>816</v>
      </c>
      <c r="B17" s="355" t="s">
        <v>256</v>
      </c>
      <c r="C17" s="455"/>
      <c r="E17" s="360"/>
      <c r="F17" s="361">
        <f>SUM(F14:F16)</f>
        <v>0</v>
      </c>
      <c r="G17" s="345"/>
    </row>
    <row r="18" spans="1:256" s="374" customFormat="1">
      <c r="A18" s="367"/>
      <c r="B18" s="368"/>
      <c r="C18" s="467"/>
      <c r="D18" s="370"/>
      <c r="E18" s="371"/>
      <c r="F18" s="372"/>
      <c r="G18" s="345"/>
      <c r="H18" s="373"/>
    </row>
    <row r="19" spans="1:256" s="350" customFormat="1">
      <c r="A19" s="348" t="s">
        <v>179</v>
      </c>
      <c r="B19" s="349" t="s">
        <v>257</v>
      </c>
      <c r="C19" s="468"/>
      <c r="E19" s="376"/>
      <c r="F19" s="377">
        <f>F17+F10</f>
        <v>0</v>
      </c>
      <c r="G19" s="345"/>
    </row>
    <row r="20" spans="1:256" s="346" customFormat="1">
      <c r="A20" s="343"/>
      <c r="B20" s="378"/>
      <c r="C20" s="456"/>
      <c r="D20" s="379"/>
      <c r="E20" s="356"/>
      <c r="F20" s="380"/>
      <c r="G20" s="345"/>
      <c r="H20" s="345"/>
    </row>
    <row r="21" spans="1:256" s="350" customFormat="1">
      <c r="A21" s="348" t="s">
        <v>177</v>
      </c>
      <c r="B21" s="349" t="s">
        <v>176</v>
      </c>
      <c r="C21" s="468"/>
      <c r="E21" s="376"/>
      <c r="F21" s="377"/>
      <c r="G21" s="381"/>
    </row>
    <row r="22" spans="1:256" s="389" customFormat="1" ht="11.25">
      <c r="A22" s="382"/>
      <c r="B22" s="383"/>
      <c r="C22" s="469"/>
      <c r="D22" s="385"/>
      <c r="E22" s="386"/>
      <c r="F22" s="387"/>
      <c r="G22" s="381"/>
      <c r="H22" s="388"/>
    </row>
    <row r="23" spans="1:256" s="390" customFormat="1">
      <c r="A23" s="354" t="s">
        <v>258</v>
      </c>
      <c r="B23" s="355" t="s">
        <v>470</v>
      </c>
      <c r="C23" s="455"/>
      <c r="D23" s="352"/>
      <c r="E23" s="360"/>
      <c r="F23" s="361"/>
      <c r="G23" s="381"/>
      <c r="IV23" s="391"/>
    </row>
    <row r="24" spans="1:256" s="390" customFormat="1">
      <c r="A24" s="354"/>
      <c r="B24" s="355"/>
      <c r="C24" s="455"/>
      <c r="D24" s="352"/>
      <c r="E24" s="360"/>
      <c r="F24" s="361"/>
      <c r="G24" s="381"/>
      <c r="J24" s="390" t="s">
        <v>221</v>
      </c>
      <c r="K24" s="390" t="s">
        <v>222</v>
      </c>
      <c r="L24" s="390" t="s">
        <v>223</v>
      </c>
      <c r="M24" s="390" t="s">
        <v>224</v>
      </c>
      <c r="N24" s="390" t="s">
        <v>225</v>
      </c>
      <c r="O24" s="390" t="s">
        <v>226</v>
      </c>
      <c r="P24" s="390" t="s">
        <v>227</v>
      </c>
      <c r="Q24" s="390" t="s">
        <v>228</v>
      </c>
      <c r="R24" s="390" t="s">
        <v>229</v>
      </c>
      <c r="S24" s="390" t="s">
        <v>230</v>
      </c>
      <c r="T24" s="390" t="s">
        <v>231</v>
      </c>
      <c r="U24" s="390" t="s">
        <v>232</v>
      </c>
      <c r="V24" s="390" t="s">
        <v>233</v>
      </c>
      <c r="W24" s="390" t="s">
        <v>234</v>
      </c>
      <c r="X24" s="390" t="s">
        <v>235</v>
      </c>
      <c r="Y24" s="390" t="s">
        <v>236</v>
      </c>
      <c r="Z24" s="390" t="s">
        <v>237</v>
      </c>
      <c r="IV24" s="391"/>
    </row>
    <row r="25" spans="1:256" s="390" customFormat="1" ht="38.25">
      <c r="A25" s="392"/>
      <c r="B25" s="393" t="s">
        <v>260</v>
      </c>
      <c r="C25" s="456"/>
      <c r="D25" s="346"/>
      <c r="E25" s="356"/>
      <c r="F25" s="357"/>
      <c r="G25" s="381"/>
      <c r="J25" s="390" t="s">
        <v>314</v>
      </c>
      <c r="K25" s="430"/>
      <c r="L25" s="430">
        <v>0</v>
      </c>
      <c r="M25" s="430">
        <v>0</v>
      </c>
      <c r="N25" s="430">
        <v>0</v>
      </c>
      <c r="O25" s="430">
        <v>260.8</v>
      </c>
      <c r="P25" s="430">
        <v>244.78</v>
      </c>
      <c r="Q25" s="430">
        <v>16.02</v>
      </c>
      <c r="R25" s="430">
        <v>0</v>
      </c>
      <c r="S25" s="430">
        <v>0</v>
      </c>
      <c r="T25" s="430">
        <v>0</v>
      </c>
      <c r="U25" s="430">
        <v>260.14999999999998</v>
      </c>
      <c r="V25" s="430">
        <v>220.73</v>
      </c>
      <c r="W25" s="430">
        <v>0</v>
      </c>
      <c r="X25" s="430">
        <v>31.94</v>
      </c>
      <c r="Y25" s="430">
        <v>7.48</v>
      </c>
      <c r="Z25" s="430">
        <v>220.73</v>
      </c>
      <c r="IV25" s="391"/>
    </row>
    <row r="26" spans="1:256" s="390" customFormat="1">
      <c r="A26" s="364"/>
      <c r="B26" s="393" t="s">
        <v>261</v>
      </c>
      <c r="C26" s="454">
        <f>C8*1</f>
        <v>52.43</v>
      </c>
      <c r="D26" s="346"/>
      <c r="E26" s="356"/>
      <c r="F26" s="357"/>
      <c r="G26" s="381"/>
      <c r="J26" s="390" t="s">
        <v>305</v>
      </c>
      <c r="K26" s="430"/>
      <c r="L26" s="430">
        <v>0</v>
      </c>
      <c r="M26" s="430">
        <v>0</v>
      </c>
      <c r="N26" s="430">
        <v>0</v>
      </c>
      <c r="O26" s="430">
        <v>235.53</v>
      </c>
      <c r="P26" s="430">
        <v>219.5</v>
      </c>
      <c r="Q26" s="430">
        <v>16.02</v>
      </c>
      <c r="R26" s="430">
        <v>0</v>
      </c>
      <c r="S26" s="430">
        <v>0</v>
      </c>
      <c r="T26" s="430">
        <v>0</v>
      </c>
      <c r="U26" s="430">
        <v>234.89</v>
      </c>
      <c r="V26" s="430">
        <v>202.54</v>
      </c>
      <c r="W26" s="430">
        <v>0</v>
      </c>
      <c r="X26" s="430">
        <v>26.25</v>
      </c>
      <c r="Y26" s="430">
        <v>6.1</v>
      </c>
      <c r="Z26" s="430">
        <v>202.54</v>
      </c>
      <c r="IV26" s="391"/>
    </row>
    <row r="27" spans="1:256" s="390" customFormat="1">
      <c r="A27" s="364" t="s">
        <v>262</v>
      </c>
      <c r="B27" s="393" t="s">
        <v>263</v>
      </c>
      <c r="C27" s="454">
        <f>C26*0.8</f>
        <v>41.944000000000003</v>
      </c>
      <c r="D27" s="394" t="s">
        <v>108</v>
      </c>
      <c r="E27" s="356"/>
      <c r="F27" s="357">
        <f>C27*E27</f>
        <v>0</v>
      </c>
      <c r="G27" s="381"/>
      <c r="J27" s="390" t="s">
        <v>307</v>
      </c>
      <c r="K27" s="430"/>
      <c r="L27" s="430">
        <v>0</v>
      </c>
      <c r="M27" s="430">
        <v>0</v>
      </c>
      <c r="N27" s="430">
        <v>0</v>
      </c>
      <c r="O27" s="430">
        <v>0</v>
      </c>
      <c r="P27" s="430">
        <v>0</v>
      </c>
      <c r="Q27" s="430">
        <v>0</v>
      </c>
      <c r="R27" s="430">
        <v>0</v>
      </c>
      <c r="S27" s="430">
        <v>0</v>
      </c>
      <c r="T27" s="430">
        <v>0</v>
      </c>
      <c r="U27" s="430">
        <v>0</v>
      </c>
      <c r="V27" s="430">
        <v>0</v>
      </c>
      <c r="W27" s="430">
        <v>0</v>
      </c>
      <c r="X27" s="430">
        <v>0</v>
      </c>
      <c r="Y27" s="430">
        <v>0</v>
      </c>
      <c r="Z27" s="430">
        <v>0</v>
      </c>
      <c r="IV27" s="391"/>
    </row>
    <row r="28" spans="1:256" s="390" customFormat="1">
      <c r="A28" s="364" t="s">
        <v>264</v>
      </c>
      <c r="B28" s="393" t="s">
        <v>265</v>
      </c>
      <c r="C28" s="454">
        <f>C26*0.2</f>
        <v>10.486000000000001</v>
      </c>
      <c r="D28" s="394" t="s">
        <v>108</v>
      </c>
      <c r="E28" s="356"/>
      <c r="F28" s="357">
        <f>C28*E28</f>
        <v>0</v>
      </c>
      <c r="G28" s="381"/>
      <c r="J28" s="390" t="s">
        <v>309</v>
      </c>
      <c r="K28" s="430"/>
      <c r="L28" s="430">
        <v>0</v>
      </c>
      <c r="M28" s="430">
        <v>0</v>
      </c>
      <c r="N28" s="430">
        <v>0</v>
      </c>
      <c r="O28" s="430">
        <v>6.84</v>
      </c>
      <c r="P28" s="430">
        <v>6.84</v>
      </c>
      <c r="Q28" s="430">
        <v>0</v>
      </c>
      <c r="R28" s="430">
        <v>0</v>
      </c>
      <c r="S28" s="430">
        <v>0</v>
      </c>
      <c r="T28" s="430">
        <v>0</v>
      </c>
      <c r="U28" s="430">
        <v>6.83</v>
      </c>
      <c r="V28" s="430">
        <v>4.8899999999999997</v>
      </c>
      <c r="W28" s="430">
        <v>0</v>
      </c>
      <c r="X28" s="430">
        <v>1.57</v>
      </c>
      <c r="Y28" s="430">
        <v>0.38</v>
      </c>
      <c r="Z28" s="430">
        <v>4.8899999999999997</v>
      </c>
      <c r="IV28" s="391"/>
    </row>
    <row r="29" spans="1:256" s="390" customFormat="1">
      <c r="A29" s="364"/>
      <c r="B29" s="393"/>
      <c r="C29" s="454"/>
      <c r="D29" s="394"/>
      <c r="E29" s="356"/>
      <c r="F29" s="357"/>
      <c r="G29" s="381"/>
      <c r="J29" s="390" t="s">
        <v>310</v>
      </c>
      <c r="K29" s="430"/>
      <c r="L29" s="430">
        <v>0</v>
      </c>
      <c r="M29" s="430">
        <v>0</v>
      </c>
      <c r="N29" s="430">
        <v>0</v>
      </c>
      <c r="O29" s="430">
        <v>4.7</v>
      </c>
      <c r="P29" s="430">
        <v>4.7</v>
      </c>
      <c r="Q29" s="430">
        <v>0</v>
      </c>
      <c r="R29" s="430">
        <v>0</v>
      </c>
      <c r="S29" s="430">
        <v>0</v>
      </c>
      <c r="T29" s="430">
        <v>0</v>
      </c>
      <c r="U29" s="430">
        <v>4.7</v>
      </c>
      <c r="V29" s="430">
        <v>2.95</v>
      </c>
      <c r="W29" s="430">
        <v>0</v>
      </c>
      <c r="X29" s="430">
        <v>1.4</v>
      </c>
      <c r="Y29" s="430">
        <v>0.34</v>
      </c>
      <c r="Z29" s="430">
        <v>2.95</v>
      </c>
      <c r="IV29" s="391"/>
    </row>
    <row r="30" spans="1:256" s="390" customFormat="1">
      <c r="A30" s="364"/>
      <c r="B30" s="393"/>
      <c r="C30" s="454"/>
      <c r="D30" s="394"/>
      <c r="E30" s="356"/>
      <c r="F30" s="357"/>
      <c r="G30" s="381"/>
      <c r="J30" s="390" t="s">
        <v>311</v>
      </c>
      <c r="K30" s="430"/>
      <c r="L30" s="430">
        <v>0</v>
      </c>
      <c r="M30" s="430">
        <v>0</v>
      </c>
      <c r="N30" s="430">
        <v>0</v>
      </c>
      <c r="O30" s="430">
        <v>7.62</v>
      </c>
      <c r="P30" s="430">
        <v>7.62</v>
      </c>
      <c r="Q30" s="430">
        <v>0</v>
      </c>
      <c r="R30" s="430">
        <v>0</v>
      </c>
      <c r="S30" s="430">
        <v>0</v>
      </c>
      <c r="T30" s="430">
        <v>0</v>
      </c>
      <c r="U30" s="430">
        <v>7.62</v>
      </c>
      <c r="V30" s="430">
        <v>5.66</v>
      </c>
      <c r="W30" s="430">
        <v>0</v>
      </c>
      <c r="X30" s="430">
        <v>1.58</v>
      </c>
      <c r="Y30" s="430">
        <v>0.38</v>
      </c>
      <c r="Z30" s="430">
        <v>5.66</v>
      </c>
      <c r="IV30" s="391"/>
    </row>
    <row r="31" spans="1:256" s="390" customFormat="1">
      <c r="A31" s="392"/>
      <c r="B31" s="393"/>
      <c r="C31" s="456"/>
      <c r="D31" s="346"/>
      <c r="E31" s="356"/>
      <c r="F31" s="357"/>
      <c r="G31" s="381"/>
      <c r="J31" s="390" t="s">
        <v>312</v>
      </c>
      <c r="K31" s="430"/>
      <c r="L31" s="430">
        <v>0</v>
      </c>
      <c r="M31" s="430">
        <v>0</v>
      </c>
      <c r="N31" s="430">
        <v>0</v>
      </c>
      <c r="O31" s="430">
        <v>6.12</v>
      </c>
      <c r="P31" s="430">
        <v>6.12</v>
      </c>
      <c r="Q31" s="430">
        <v>0</v>
      </c>
      <c r="R31" s="430">
        <v>0</v>
      </c>
      <c r="S31" s="430">
        <v>0</v>
      </c>
      <c r="T31" s="430">
        <v>0</v>
      </c>
      <c r="U31" s="430">
        <v>6.12</v>
      </c>
      <c r="V31" s="430">
        <v>4.7</v>
      </c>
      <c r="W31" s="430">
        <v>0</v>
      </c>
      <c r="X31" s="430">
        <v>1.1399999999999999</v>
      </c>
      <c r="Y31" s="430">
        <v>0.28000000000000003</v>
      </c>
      <c r="Z31" s="430">
        <v>4.7</v>
      </c>
      <c r="IV31" s="391"/>
    </row>
    <row r="32" spans="1:256" s="390" customFormat="1">
      <c r="A32" s="364"/>
      <c r="B32" s="393"/>
      <c r="C32" s="454"/>
      <c r="D32" s="346"/>
      <c r="E32" s="356"/>
      <c r="F32" s="357"/>
      <c r="G32" s="381"/>
      <c r="J32" s="390" t="s">
        <v>313</v>
      </c>
      <c r="K32" s="430"/>
      <c r="L32" s="430">
        <v>0</v>
      </c>
      <c r="M32" s="430">
        <v>0</v>
      </c>
      <c r="N32" s="430">
        <v>0</v>
      </c>
      <c r="O32" s="430">
        <v>0</v>
      </c>
      <c r="P32" s="430">
        <v>0</v>
      </c>
      <c r="Q32" s="430">
        <v>0</v>
      </c>
      <c r="R32" s="430">
        <v>0</v>
      </c>
      <c r="S32" s="430">
        <v>0</v>
      </c>
      <c r="T32" s="430">
        <v>0</v>
      </c>
      <c r="U32" s="430">
        <v>0</v>
      </c>
      <c r="V32" s="430">
        <v>0</v>
      </c>
      <c r="W32" s="430">
        <v>0</v>
      </c>
      <c r="X32" s="430">
        <v>0</v>
      </c>
      <c r="Y32" s="430">
        <v>0</v>
      </c>
      <c r="Z32" s="430">
        <v>0</v>
      </c>
      <c r="IV32" s="391"/>
    </row>
    <row r="33" spans="1:256" s="390" customFormat="1">
      <c r="A33" s="364"/>
      <c r="B33" s="393"/>
      <c r="C33" s="454"/>
      <c r="D33" s="394"/>
      <c r="E33" s="356"/>
      <c r="F33" s="357"/>
      <c r="G33" s="381"/>
      <c r="L33" s="390">
        <f>SUM(L25:L32)</f>
        <v>0</v>
      </c>
      <c r="M33" s="390">
        <f t="shared" ref="M33:Z33" si="0">SUM(M25:M32)</f>
        <v>0</v>
      </c>
      <c r="N33" s="390">
        <f t="shared" si="0"/>
        <v>0</v>
      </c>
      <c r="O33" s="390">
        <f t="shared" si="0"/>
        <v>521.61</v>
      </c>
      <c r="P33" s="390">
        <f t="shared" si="0"/>
        <v>489.55999999999995</v>
      </c>
      <c r="Q33" s="390">
        <f t="shared" si="0"/>
        <v>32.04</v>
      </c>
      <c r="R33" s="390">
        <f t="shared" si="0"/>
        <v>0</v>
      </c>
      <c r="S33" s="390">
        <f t="shared" si="0"/>
        <v>0</v>
      </c>
      <c r="T33" s="390">
        <f t="shared" si="0"/>
        <v>0</v>
      </c>
      <c r="U33" s="390">
        <f t="shared" si="0"/>
        <v>520.30999999999995</v>
      </c>
      <c r="V33" s="390">
        <f t="shared" si="0"/>
        <v>441.46999999999997</v>
      </c>
      <c r="W33" s="390">
        <f t="shared" si="0"/>
        <v>0</v>
      </c>
      <c r="X33" s="390">
        <f t="shared" si="0"/>
        <v>63.879999999999995</v>
      </c>
      <c r="Y33" s="390">
        <f t="shared" si="0"/>
        <v>14.96</v>
      </c>
      <c r="Z33" s="390">
        <f t="shared" si="0"/>
        <v>441.46999999999997</v>
      </c>
      <c r="IV33" s="391"/>
    </row>
    <row r="34" spans="1:256" s="389" customFormat="1">
      <c r="A34" s="354" t="s">
        <v>258</v>
      </c>
      <c r="B34" s="355" t="s">
        <v>266</v>
      </c>
      <c r="C34" s="455"/>
      <c r="D34" s="352"/>
      <c r="E34" s="360"/>
      <c r="F34" s="361">
        <f>SUM(F24:F33)</f>
        <v>0</v>
      </c>
      <c r="G34" s="381"/>
      <c r="H34" s="390"/>
    </row>
    <row r="35" spans="1:256" s="389" customFormat="1">
      <c r="A35" s="395"/>
      <c r="B35" s="396"/>
      <c r="C35" s="457"/>
      <c r="D35" s="394"/>
      <c r="E35" s="398"/>
      <c r="F35" s="399"/>
      <c r="G35" s="381"/>
      <c r="H35" s="388"/>
    </row>
    <row r="36" spans="1:256" s="390" customFormat="1">
      <c r="A36" s="354" t="s">
        <v>267</v>
      </c>
      <c r="B36" s="355" t="s">
        <v>268</v>
      </c>
      <c r="C36" s="455"/>
      <c r="D36" s="352"/>
      <c r="E36" s="360"/>
      <c r="F36" s="361"/>
      <c r="G36" s="381"/>
      <c r="IV36" s="391"/>
    </row>
    <row r="37" spans="1:256" s="390" customFormat="1">
      <c r="A37" s="354"/>
      <c r="B37" s="355"/>
      <c r="C37" s="455"/>
      <c r="D37" s="352"/>
      <c r="E37" s="360"/>
      <c r="F37" s="361"/>
      <c r="G37" s="381"/>
      <c r="I37" s="390" t="s">
        <v>221</v>
      </c>
      <c r="J37" s="390" t="s">
        <v>222</v>
      </c>
      <c r="K37" s="390" t="s">
        <v>223</v>
      </c>
      <c r="L37" s="390" t="s">
        <v>224</v>
      </c>
      <c r="M37" s="390" t="s">
        <v>225</v>
      </c>
      <c r="N37" s="390" t="s">
        <v>226</v>
      </c>
      <c r="O37" s="390" t="s">
        <v>227</v>
      </c>
      <c r="P37" s="390" t="s">
        <v>228</v>
      </c>
      <c r="Q37" s="390" t="s">
        <v>229</v>
      </c>
      <c r="R37" s="390" t="s">
        <v>230</v>
      </c>
      <c r="S37" s="390" t="s">
        <v>231</v>
      </c>
      <c r="T37" s="390" t="s">
        <v>232</v>
      </c>
      <c r="U37" s="390" t="s">
        <v>233</v>
      </c>
      <c r="V37" s="390" t="s">
        <v>234</v>
      </c>
      <c r="W37" s="390" t="s">
        <v>235</v>
      </c>
      <c r="X37" s="390" t="s">
        <v>236</v>
      </c>
      <c r="Y37" s="390" t="s">
        <v>237</v>
      </c>
      <c r="IV37" s="391"/>
    </row>
    <row r="38" spans="1:256" s="390" customFormat="1">
      <c r="A38" s="364"/>
      <c r="B38" s="393"/>
      <c r="C38" s="456"/>
      <c r="D38" s="346"/>
      <c r="E38" s="400"/>
      <c r="F38" s="401"/>
      <c r="G38" s="381"/>
      <c r="I38" s="390" t="s">
        <v>485</v>
      </c>
      <c r="K38" s="390">
        <v>0</v>
      </c>
      <c r="L38" s="390">
        <v>5.17</v>
      </c>
      <c r="M38" s="390">
        <v>0</v>
      </c>
      <c r="N38" s="390">
        <v>77.900000000000006</v>
      </c>
      <c r="O38" s="390">
        <v>77.900000000000006</v>
      </c>
      <c r="P38" s="390">
        <v>0</v>
      </c>
      <c r="Q38" s="390">
        <v>0</v>
      </c>
      <c r="R38" s="390">
        <v>0</v>
      </c>
      <c r="S38" s="390">
        <v>0</v>
      </c>
      <c r="T38" s="390">
        <v>77.510000000000005</v>
      </c>
      <c r="U38" s="390">
        <v>35.65</v>
      </c>
      <c r="V38" s="390">
        <v>19.149999999999999</v>
      </c>
      <c r="W38" s="390">
        <v>18.41</v>
      </c>
      <c r="X38" s="390">
        <v>4.3</v>
      </c>
      <c r="Y38" s="390">
        <v>35.65</v>
      </c>
      <c r="IV38" s="391"/>
    </row>
    <row r="39" spans="1:256" s="390" customFormat="1" ht="63.75">
      <c r="A39" s="364" t="s">
        <v>270</v>
      </c>
      <c r="B39" s="393" t="s">
        <v>271</v>
      </c>
      <c r="C39" s="454"/>
      <c r="D39" s="346"/>
      <c r="E39" s="400"/>
      <c r="F39" s="401"/>
      <c r="G39" s="381"/>
      <c r="IV39" s="391"/>
    </row>
    <row r="40" spans="1:256" s="390" customFormat="1">
      <c r="A40" s="402"/>
      <c r="B40" s="393"/>
      <c r="C40" s="454">
        <f>X38</f>
        <v>4.3</v>
      </c>
      <c r="D40" s="346" t="s">
        <v>108</v>
      </c>
      <c r="E40" s="356"/>
      <c r="F40" s="357">
        <f>C40*E40</f>
        <v>0</v>
      </c>
      <c r="G40" s="381"/>
      <c r="IV40" s="391"/>
    </row>
    <row r="41" spans="1:256" s="390" customFormat="1">
      <c r="A41" s="402"/>
      <c r="B41" s="393"/>
      <c r="C41" s="456"/>
      <c r="D41" s="346"/>
      <c r="E41" s="356"/>
      <c r="F41" s="357"/>
      <c r="G41" s="381"/>
      <c r="IV41" s="391"/>
    </row>
    <row r="42" spans="1:256" s="390" customFormat="1" ht="89.25">
      <c r="A42" s="364" t="s">
        <v>272</v>
      </c>
      <c r="B42" s="393" t="s">
        <v>273</v>
      </c>
      <c r="C42" s="456"/>
      <c r="D42" s="346"/>
      <c r="E42" s="400"/>
      <c r="F42" s="401"/>
      <c r="G42" s="381"/>
      <c r="IV42" s="391"/>
    </row>
    <row r="43" spans="1:256" s="390" customFormat="1">
      <c r="A43" s="402"/>
      <c r="B43" s="393"/>
      <c r="C43" s="454">
        <f>W38</f>
        <v>18.41</v>
      </c>
      <c r="D43" s="346" t="s">
        <v>108</v>
      </c>
      <c r="E43" s="356"/>
      <c r="F43" s="357">
        <f>C43*E43</f>
        <v>0</v>
      </c>
      <c r="G43" s="381"/>
      <c r="IV43" s="391"/>
    </row>
    <row r="44" spans="1:256" s="390" customFormat="1">
      <c r="A44" s="402"/>
      <c r="B44" s="393"/>
      <c r="C44" s="454"/>
      <c r="D44" s="346"/>
      <c r="E44" s="356"/>
      <c r="F44" s="357"/>
      <c r="G44" s="381"/>
      <c r="IV44" s="391"/>
    </row>
    <row r="45" spans="1:256" s="390" customFormat="1" ht="76.5">
      <c r="A45" s="364" t="s">
        <v>274</v>
      </c>
      <c r="B45" s="393" t="s">
        <v>275</v>
      </c>
      <c r="C45" s="454"/>
      <c r="D45" s="346"/>
      <c r="E45" s="400"/>
      <c r="F45" s="401"/>
      <c r="G45" s="381"/>
      <c r="IV45" s="391"/>
    </row>
    <row r="46" spans="1:256" s="390" customFormat="1">
      <c r="A46" s="402"/>
      <c r="B46" s="393"/>
      <c r="C46" s="454">
        <f>C26-C40-C43</f>
        <v>29.720000000000002</v>
      </c>
      <c r="D46" s="346" t="s">
        <v>108</v>
      </c>
      <c r="E46" s="356"/>
      <c r="F46" s="357">
        <f>C46*E46</f>
        <v>0</v>
      </c>
      <c r="G46" s="381"/>
      <c r="IV46" s="391"/>
    </row>
    <row r="47" spans="1:256" s="390" customFormat="1">
      <c r="A47" s="402"/>
      <c r="B47" s="393"/>
      <c r="C47" s="454"/>
      <c r="D47" s="346"/>
      <c r="E47" s="356"/>
      <c r="F47" s="357"/>
      <c r="G47" s="381"/>
      <c r="IV47" s="391"/>
    </row>
    <row r="48" spans="1:256" s="390" customFormat="1">
      <c r="A48" s="364"/>
      <c r="B48" s="362"/>
      <c r="C48" s="454"/>
      <c r="D48" s="346"/>
      <c r="E48" s="365"/>
      <c r="F48" s="366"/>
      <c r="G48" s="381"/>
      <c r="IV48" s="391"/>
    </row>
    <row r="49" spans="1:256" s="390" customFormat="1">
      <c r="A49" s="364"/>
      <c r="B49" s="362"/>
      <c r="C49" s="454"/>
      <c r="D49" s="346"/>
      <c r="E49" s="365"/>
      <c r="F49" s="366"/>
      <c r="G49" s="381"/>
      <c r="IV49" s="391"/>
    </row>
    <row r="50" spans="1:256" s="390" customFormat="1">
      <c r="A50" s="364"/>
      <c r="B50" s="362"/>
      <c r="C50" s="454"/>
      <c r="D50" s="346"/>
      <c r="E50" s="365"/>
      <c r="F50" s="366"/>
      <c r="G50" s="381"/>
      <c r="IV50" s="391"/>
    </row>
    <row r="51" spans="1:256" s="389" customFormat="1" ht="51">
      <c r="A51" s="364" t="s">
        <v>276</v>
      </c>
      <c r="B51" s="393" t="s">
        <v>279</v>
      </c>
      <c r="C51" s="454"/>
      <c r="D51" s="346"/>
      <c r="E51" s="400"/>
      <c r="F51" s="401"/>
      <c r="G51" s="381"/>
      <c r="H51" s="381"/>
    </row>
    <row r="52" spans="1:256" s="389" customFormat="1">
      <c r="A52" s="402"/>
      <c r="B52" s="393"/>
      <c r="C52" s="454">
        <f>(C26+C32-C46)*1.4</f>
        <v>31.793999999999993</v>
      </c>
      <c r="D52" s="346" t="s">
        <v>108</v>
      </c>
      <c r="E52" s="356"/>
      <c r="F52" s="357">
        <f>C52*E52</f>
        <v>0</v>
      </c>
      <c r="G52" s="381"/>
      <c r="H52" s="381"/>
    </row>
    <row r="53" spans="1:256" s="389" customFormat="1">
      <c r="A53" s="402"/>
      <c r="B53" s="393"/>
      <c r="C53" s="454"/>
      <c r="D53" s="346"/>
      <c r="E53" s="356"/>
      <c r="F53" s="357"/>
      <c r="G53" s="381"/>
      <c r="H53" s="388"/>
    </row>
    <row r="54" spans="1:256" s="389" customFormat="1">
      <c r="A54" s="364" t="s">
        <v>278</v>
      </c>
      <c r="B54" s="393" t="s">
        <v>281</v>
      </c>
      <c r="C54" s="454"/>
      <c r="D54" s="346"/>
      <c r="E54" s="400"/>
      <c r="F54" s="401"/>
      <c r="G54" s="381"/>
      <c r="H54" s="388"/>
    </row>
    <row r="55" spans="1:256" s="389" customFormat="1">
      <c r="A55" s="402"/>
      <c r="B55" s="393"/>
      <c r="C55" s="454">
        <v>5</v>
      </c>
      <c r="D55" s="346" t="s">
        <v>71</v>
      </c>
      <c r="E55" s="356"/>
      <c r="F55" s="357">
        <f>C55*E55</f>
        <v>0</v>
      </c>
      <c r="G55" s="381"/>
      <c r="H55" s="388"/>
    </row>
    <row r="56" spans="1:256" s="389" customFormat="1">
      <c r="A56" s="402"/>
      <c r="B56" s="393"/>
      <c r="C56" s="456"/>
      <c r="D56" s="346"/>
      <c r="E56" s="356"/>
      <c r="F56" s="357"/>
      <c r="G56" s="381"/>
      <c r="H56" s="388"/>
    </row>
    <row r="57" spans="1:256" s="389" customFormat="1">
      <c r="A57" s="354" t="s">
        <v>267</v>
      </c>
      <c r="B57" s="355" t="s">
        <v>282</v>
      </c>
      <c r="C57" s="455"/>
      <c r="D57" s="352"/>
      <c r="E57" s="360"/>
      <c r="F57" s="361">
        <f>SUM(F38:F55)</f>
        <v>0</v>
      </c>
      <c r="G57" s="381"/>
      <c r="H57" s="390"/>
    </row>
    <row r="58" spans="1:256" s="389" customFormat="1">
      <c r="A58" s="354"/>
      <c r="B58" s="355"/>
      <c r="C58" s="455"/>
      <c r="D58" s="352"/>
      <c r="E58" s="360"/>
      <c r="F58" s="361"/>
      <c r="G58" s="381"/>
      <c r="H58" s="390"/>
    </row>
    <row r="59" spans="1:256" s="389" customFormat="1" ht="38.25">
      <c r="A59" s="364" t="s">
        <v>280</v>
      </c>
      <c r="B59" s="393" t="s">
        <v>284</v>
      </c>
      <c r="C59" s="456"/>
      <c r="D59" s="394"/>
      <c r="E59" s="356"/>
      <c r="F59" s="357"/>
      <c r="G59" s="381"/>
      <c r="H59" s="388"/>
    </row>
    <row r="60" spans="1:256" s="389" customFormat="1">
      <c r="A60" s="395"/>
      <c r="B60" s="396"/>
      <c r="C60" s="470"/>
      <c r="D60" s="394"/>
      <c r="E60" s="404"/>
      <c r="F60" s="715">
        <f>SUM(F57,F34)*0.05</f>
        <v>0</v>
      </c>
      <c r="G60" s="381"/>
      <c r="H60" s="388"/>
    </row>
    <row r="61" spans="1:256" s="389" customFormat="1">
      <c r="A61" s="354"/>
      <c r="B61" s="355"/>
      <c r="C61" s="455"/>
      <c r="D61" s="352"/>
      <c r="E61" s="360"/>
      <c r="F61" s="361"/>
      <c r="G61" s="381"/>
      <c r="H61" s="390"/>
    </row>
    <row r="62" spans="1:256" s="350" customFormat="1">
      <c r="A62" s="348" t="s">
        <v>177</v>
      </c>
      <c r="B62" s="349" t="s">
        <v>285</v>
      </c>
      <c r="C62" s="468"/>
      <c r="E62" s="376"/>
      <c r="F62" s="377">
        <f>F60+F57+F34</f>
        <v>0</v>
      </c>
      <c r="G62" s="345"/>
    </row>
    <row r="63" spans="1:256" s="350" customFormat="1">
      <c r="A63" s="348"/>
      <c r="B63" s="349"/>
      <c r="C63" s="468"/>
      <c r="E63" s="376"/>
      <c r="F63" s="377"/>
      <c r="G63" s="345"/>
    </row>
    <row r="64" spans="1:256" s="407" customFormat="1">
      <c r="A64" s="348" t="s">
        <v>175</v>
      </c>
      <c r="B64" s="349" t="s">
        <v>286</v>
      </c>
      <c r="C64" s="468"/>
      <c r="D64" s="350"/>
      <c r="E64" s="376"/>
      <c r="F64" s="377"/>
    </row>
    <row r="65" spans="1:12" s="407" customFormat="1">
      <c r="A65" s="349"/>
      <c r="B65" s="349"/>
      <c r="C65" s="471"/>
      <c r="D65" s="409"/>
      <c r="E65" s="410"/>
      <c r="F65" s="411"/>
    </row>
    <row r="66" spans="1:12" s="412" customFormat="1" ht="76.5">
      <c r="A66" s="364" t="s">
        <v>287</v>
      </c>
      <c r="B66" s="393" t="s">
        <v>288</v>
      </c>
      <c r="C66" s="456"/>
      <c r="D66" s="346"/>
      <c r="E66" s="356"/>
      <c r="F66" s="357"/>
    </row>
    <row r="67" spans="1:12" s="407" customFormat="1">
      <c r="A67" s="392"/>
      <c r="B67" s="393"/>
      <c r="C67" s="454">
        <f>C96+C97+C104</f>
        <v>1</v>
      </c>
      <c r="D67" s="346" t="s">
        <v>190</v>
      </c>
      <c r="E67" s="356"/>
      <c r="F67" s="357">
        <f>C67*E67</f>
        <v>0</v>
      </c>
    </row>
    <row r="68" spans="1:12" s="407" customFormat="1">
      <c r="A68" s="392"/>
      <c r="B68" s="393"/>
      <c r="C68" s="456"/>
      <c r="D68" s="346"/>
      <c r="E68" s="356"/>
      <c r="F68" s="357"/>
    </row>
    <row r="69" spans="1:12" s="407" customFormat="1" ht="51">
      <c r="A69" s="364" t="s">
        <v>289</v>
      </c>
      <c r="B69" s="393" t="s">
        <v>330</v>
      </c>
      <c r="C69" s="456"/>
      <c r="D69" s="346"/>
      <c r="E69" s="356"/>
      <c r="F69" s="357"/>
    </row>
    <row r="70" spans="1:12" s="407" customFormat="1">
      <c r="A70" s="392"/>
      <c r="B70" s="393"/>
      <c r="C70" s="454">
        <f>C103+C104</f>
        <v>1</v>
      </c>
      <c r="D70" s="346" t="s">
        <v>190</v>
      </c>
      <c r="E70" s="356"/>
      <c r="F70" s="357">
        <f>C70*E70</f>
        <v>0</v>
      </c>
    </row>
    <row r="71" spans="1:12" s="407" customFormat="1">
      <c r="A71" s="392"/>
      <c r="B71" s="393"/>
      <c r="C71" s="456"/>
      <c r="D71" s="346"/>
      <c r="E71" s="356"/>
      <c r="F71" s="357"/>
    </row>
    <row r="72" spans="1:12" s="407" customFormat="1" ht="38.25">
      <c r="A72" s="364" t="s">
        <v>291</v>
      </c>
      <c r="B72" s="393" t="s">
        <v>290</v>
      </c>
      <c r="C72" s="456"/>
      <c r="D72" s="346"/>
      <c r="E72" s="356"/>
      <c r="F72" s="357"/>
    </row>
    <row r="73" spans="1:12" s="407" customFormat="1">
      <c r="A73" s="392"/>
      <c r="B73" s="393"/>
      <c r="C73" s="454">
        <v>2</v>
      </c>
      <c r="D73" s="346" t="s">
        <v>190</v>
      </c>
      <c r="E73" s="356"/>
      <c r="F73" s="357">
        <f>C73*E73</f>
        <v>0</v>
      </c>
    </row>
    <row r="74" spans="1:12" s="407" customFormat="1">
      <c r="A74" s="392"/>
      <c r="B74" s="393"/>
      <c r="C74" s="456"/>
      <c r="D74" s="346"/>
      <c r="E74" s="356"/>
      <c r="F74" s="357"/>
    </row>
    <row r="75" spans="1:12" s="350" customFormat="1" ht="38.25">
      <c r="A75" s="364" t="s">
        <v>329</v>
      </c>
      <c r="B75" s="393" t="s">
        <v>292</v>
      </c>
      <c r="C75" s="456"/>
      <c r="D75" s="346"/>
      <c r="E75" s="356"/>
      <c r="F75" s="357"/>
      <c r="G75" s="345"/>
    </row>
    <row r="76" spans="1:12" s="350" customFormat="1">
      <c r="A76" s="413"/>
      <c r="B76" s="393"/>
      <c r="C76" s="454">
        <v>6</v>
      </c>
      <c r="D76" s="346" t="s">
        <v>105</v>
      </c>
      <c r="E76" s="356"/>
      <c r="F76" s="357">
        <f>C76*E76</f>
        <v>0</v>
      </c>
      <c r="G76" s="381"/>
      <c r="I76" s="346"/>
      <c r="J76" s="346"/>
      <c r="K76" s="346"/>
      <c r="L76" s="346"/>
    </row>
    <row r="77" spans="1:12" s="389" customFormat="1">
      <c r="A77" s="413"/>
      <c r="B77" s="393"/>
      <c r="C77" s="454"/>
      <c r="D77" s="346"/>
      <c r="E77" s="356"/>
      <c r="F77" s="357"/>
      <c r="G77" s="381"/>
      <c r="H77" s="381"/>
      <c r="I77" s="346"/>
      <c r="J77" s="346"/>
      <c r="K77" s="346"/>
      <c r="L77" s="346"/>
    </row>
    <row r="78" spans="1:12" s="389" customFormat="1">
      <c r="A78" s="348" t="s">
        <v>175</v>
      </c>
      <c r="B78" s="349" t="s">
        <v>293</v>
      </c>
      <c r="C78" s="464"/>
      <c r="D78" s="350"/>
      <c r="E78" s="376"/>
      <c r="F78" s="377">
        <f>SUM(F67:F77)</f>
        <v>0</v>
      </c>
      <c r="G78" s="381"/>
      <c r="H78" s="390"/>
      <c r="I78" s="346"/>
      <c r="J78" s="346"/>
      <c r="K78" s="346"/>
      <c r="L78" s="346"/>
    </row>
    <row r="79" spans="1:12" s="389" customFormat="1">
      <c r="A79" s="348"/>
      <c r="B79" s="349"/>
      <c r="C79" s="464"/>
      <c r="D79" s="350"/>
      <c r="E79" s="376"/>
      <c r="F79" s="377"/>
      <c r="G79" s="381"/>
      <c r="H79" s="390"/>
      <c r="I79" s="352"/>
      <c r="J79" s="352"/>
      <c r="K79" s="352"/>
      <c r="L79" s="352"/>
    </row>
    <row r="80" spans="1:12" s="389" customFormat="1">
      <c r="A80" s="348" t="s">
        <v>185</v>
      </c>
      <c r="B80" s="349" t="s">
        <v>294</v>
      </c>
      <c r="C80" s="464"/>
      <c r="D80" s="350"/>
      <c r="E80" s="376"/>
      <c r="F80" s="377"/>
      <c r="G80" s="381"/>
      <c r="H80" s="390"/>
      <c r="I80" s="352"/>
      <c r="J80" s="352"/>
      <c r="K80" s="352"/>
      <c r="L80" s="352"/>
    </row>
    <row r="81" spans="1:15" s="389" customFormat="1" ht="11.25" customHeight="1">
      <c r="A81" s="402"/>
      <c r="B81" s="393"/>
      <c r="C81" s="454"/>
      <c r="D81" s="346"/>
      <c r="E81" s="356"/>
      <c r="F81" s="357"/>
      <c r="G81" s="381"/>
      <c r="H81" s="390"/>
      <c r="I81" s="352"/>
      <c r="J81" s="352"/>
      <c r="K81" s="352"/>
      <c r="L81" s="352"/>
    </row>
    <row r="82" spans="1:15" s="389" customFormat="1" ht="29.25" customHeight="1">
      <c r="A82" s="392"/>
      <c r="B82" s="393" t="s">
        <v>315</v>
      </c>
      <c r="C82" s="454"/>
      <c r="D82" s="346"/>
      <c r="E82" s="400"/>
      <c r="F82" s="401"/>
      <c r="G82" s="381"/>
      <c r="I82" s="346"/>
      <c r="J82" s="346"/>
      <c r="K82" s="346"/>
      <c r="L82" s="346"/>
    </row>
    <row r="83" spans="1:15" s="389" customFormat="1">
      <c r="A83" s="364" t="s">
        <v>295</v>
      </c>
      <c r="B83" s="393" t="s">
        <v>306</v>
      </c>
      <c r="C83" s="454">
        <f>K85</f>
        <v>31.38</v>
      </c>
      <c r="D83" s="346" t="s">
        <v>115</v>
      </c>
      <c r="E83" s="356"/>
      <c r="F83" s="357">
        <f>C83*E83</f>
        <v>0</v>
      </c>
      <c r="G83" s="381"/>
      <c r="I83" s="346"/>
      <c r="J83" s="346"/>
      <c r="K83" s="346"/>
      <c r="L83" s="346"/>
    </row>
    <row r="84" spans="1:15" s="389" customFormat="1">
      <c r="A84" s="402"/>
      <c r="B84" s="393"/>
      <c r="C84" s="454"/>
      <c r="D84" s="346"/>
      <c r="E84" s="356"/>
      <c r="F84" s="357"/>
      <c r="G84" s="381"/>
      <c r="H84" s="415"/>
      <c r="I84" s="346" t="s">
        <v>221</v>
      </c>
      <c r="J84" s="346" t="s">
        <v>238</v>
      </c>
      <c r="K84" s="346" t="s">
        <v>239</v>
      </c>
      <c r="L84" s="346"/>
      <c r="M84" s="389" t="s">
        <v>221</v>
      </c>
      <c r="N84" s="389" t="s">
        <v>238</v>
      </c>
      <c r="O84" s="389" t="s">
        <v>239</v>
      </c>
    </row>
    <row r="85" spans="1:15" s="389" customFormat="1" ht="80.25" customHeight="1">
      <c r="A85" s="392"/>
      <c r="B85" s="393" t="s">
        <v>319</v>
      </c>
      <c r="C85" s="454"/>
      <c r="D85" s="346"/>
      <c r="E85" s="400"/>
      <c r="F85" s="401"/>
      <c r="G85" s="381"/>
      <c r="H85" s="415"/>
      <c r="I85" s="346" t="s">
        <v>306</v>
      </c>
      <c r="J85" s="346">
        <v>100</v>
      </c>
      <c r="K85" s="346">
        <v>31.38</v>
      </c>
      <c r="L85" s="346"/>
      <c r="M85" s="389" t="s">
        <v>306</v>
      </c>
      <c r="N85" s="389">
        <v>100</v>
      </c>
      <c r="O85" s="389">
        <v>31.38</v>
      </c>
    </row>
    <row r="86" spans="1:15" s="389" customFormat="1" ht="12" customHeight="1">
      <c r="A86" s="364" t="s">
        <v>296</v>
      </c>
      <c r="B86" s="393" t="s">
        <v>306</v>
      </c>
      <c r="C86" s="454">
        <f>C83</f>
        <v>31.38</v>
      </c>
      <c r="D86" s="346" t="s">
        <v>115</v>
      </c>
      <c r="E86" s="356"/>
      <c r="F86" s="357">
        <f>C86*E86</f>
        <v>0</v>
      </c>
      <c r="G86" s="381"/>
      <c r="H86" s="415"/>
      <c r="I86" s="346" t="s">
        <v>221</v>
      </c>
      <c r="J86" s="346" t="s">
        <v>238</v>
      </c>
      <c r="K86" s="346" t="s">
        <v>239</v>
      </c>
      <c r="L86" s="346"/>
      <c r="M86" s="389" t="s">
        <v>308</v>
      </c>
      <c r="N86" s="389">
        <v>80</v>
      </c>
      <c r="O86" s="389">
        <v>21.05</v>
      </c>
    </row>
    <row r="87" spans="1:15" s="389" customFormat="1" ht="12" customHeight="1">
      <c r="A87" s="364"/>
      <c r="B87" s="393"/>
      <c r="C87" s="454"/>
      <c r="D87" s="346"/>
      <c r="E87" s="356"/>
      <c r="F87" s="357"/>
      <c r="G87" s="381"/>
      <c r="H87" s="415"/>
      <c r="I87" s="346" t="s">
        <v>308</v>
      </c>
      <c r="J87" s="346">
        <v>80</v>
      </c>
      <c r="K87" s="346">
        <v>21.05</v>
      </c>
      <c r="L87" s="346"/>
    </row>
    <row r="88" spans="1:15" s="389" customFormat="1" ht="16.5" customHeight="1">
      <c r="A88" s="402"/>
      <c r="B88" s="393"/>
      <c r="C88" s="454"/>
      <c r="D88" s="346"/>
      <c r="E88" s="356"/>
      <c r="F88" s="357"/>
      <c r="G88" s="381"/>
      <c r="H88" s="415"/>
      <c r="I88" s="346"/>
      <c r="J88" s="346"/>
      <c r="K88" s="346"/>
      <c r="L88" s="346"/>
    </row>
    <row r="89" spans="1:15" s="389" customFormat="1" ht="29.25" customHeight="1">
      <c r="A89" s="392"/>
      <c r="B89" s="393" t="s">
        <v>315</v>
      </c>
      <c r="C89" s="454"/>
      <c r="D89" s="346"/>
      <c r="E89" s="400"/>
      <c r="F89" s="401"/>
      <c r="G89" s="381"/>
      <c r="H89" s="390"/>
      <c r="I89" s="346"/>
      <c r="J89" s="346"/>
      <c r="K89" s="346"/>
      <c r="L89" s="346"/>
    </row>
    <row r="90" spans="1:15" s="389" customFormat="1">
      <c r="A90" s="364" t="s">
        <v>297</v>
      </c>
      <c r="B90" s="393" t="s">
        <v>308</v>
      </c>
      <c r="C90" s="454">
        <f>K87</f>
        <v>21.05</v>
      </c>
      <c r="D90" s="346" t="s">
        <v>115</v>
      </c>
      <c r="E90" s="356"/>
      <c r="F90" s="357">
        <f>C90*E90</f>
        <v>0</v>
      </c>
      <c r="G90" s="381"/>
      <c r="H90" s="390"/>
      <c r="I90" s="346"/>
      <c r="J90" s="346"/>
      <c r="K90" s="346"/>
      <c r="L90" s="346"/>
    </row>
    <row r="91" spans="1:15" s="389" customFormat="1">
      <c r="A91" s="402"/>
      <c r="B91" s="393"/>
      <c r="C91" s="454"/>
      <c r="D91" s="346"/>
      <c r="E91" s="356"/>
      <c r="F91" s="357"/>
      <c r="G91" s="381"/>
      <c r="H91" s="390"/>
      <c r="I91" s="346"/>
      <c r="J91" s="346"/>
      <c r="K91" s="346"/>
      <c r="L91" s="346"/>
    </row>
    <row r="92" spans="1:15" s="389" customFormat="1" ht="81" customHeight="1">
      <c r="A92" s="392"/>
      <c r="B92" s="393" t="s">
        <v>319</v>
      </c>
      <c r="C92" s="454"/>
      <c r="D92" s="346"/>
      <c r="E92" s="400"/>
      <c r="F92" s="401"/>
      <c r="G92" s="381"/>
      <c r="H92" s="390"/>
    </row>
    <row r="93" spans="1:15" s="389" customFormat="1">
      <c r="A93" s="364" t="s">
        <v>316</v>
      </c>
      <c r="B93" s="393" t="s">
        <v>308</v>
      </c>
      <c r="C93" s="454">
        <f>C90</f>
        <v>21.05</v>
      </c>
      <c r="D93" s="346" t="s">
        <v>115</v>
      </c>
      <c r="E93" s="356"/>
      <c r="F93" s="357">
        <f>C93*E93</f>
        <v>0</v>
      </c>
      <c r="G93" s="381"/>
      <c r="H93" s="390"/>
    </row>
    <row r="94" spans="1:15" s="389" customFormat="1">
      <c r="A94" s="364"/>
      <c r="B94" s="393"/>
      <c r="C94" s="454"/>
      <c r="D94" s="346"/>
      <c r="E94" s="356"/>
      <c r="F94" s="357"/>
      <c r="G94" s="381"/>
      <c r="H94" s="390"/>
    </row>
    <row r="95" spans="1:15" s="389" customFormat="1" ht="76.5">
      <c r="A95" s="392" t="s">
        <v>839</v>
      </c>
      <c r="B95" s="393" t="s">
        <v>298</v>
      </c>
      <c r="C95" s="458"/>
      <c r="D95" s="363"/>
      <c r="E95" s="414"/>
      <c r="F95" s="414"/>
      <c r="G95" s="381"/>
      <c r="H95" s="390"/>
    </row>
    <row r="96" spans="1:15" s="350" customFormat="1">
      <c r="A96" s="363"/>
      <c r="B96" s="363"/>
      <c r="C96" s="458"/>
      <c r="D96" s="416"/>
      <c r="E96" s="414"/>
      <c r="F96" s="414"/>
      <c r="G96" s="345"/>
    </row>
    <row r="97" spans="1:256" s="350" customFormat="1">
      <c r="A97" s="363">
        <v>1</v>
      </c>
      <c r="B97" s="363" t="s">
        <v>326</v>
      </c>
      <c r="C97" s="458">
        <v>1</v>
      </c>
      <c r="D97" s="416" t="s">
        <v>190</v>
      </c>
      <c r="E97" s="414"/>
      <c r="F97" s="414">
        <f t="shared" ref="F97:F105" si="1">C97*E97</f>
        <v>0</v>
      </c>
      <c r="G97" s="345"/>
    </row>
    <row r="98" spans="1:256" s="350" customFormat="1">
      <c r="A98" s="363"/>
      <c r="B98" s="363"/>
      <c r="C98" s="458"/>
      <c r="D98" s="346"/>
      <c r="E98" s="414"/>
      <c r="F98" s="414"/>
      <c r="G98" s="345"/>
    </row>
    <row r="99" spans="1:256" s="350" customFormat="1">
      <c r="A99" s="363">
        <v>2</v>
      </c>
      <c r="B99" s="363" t="s">
        <v>475</v>
      </c>
      <c r="C99" s="458">
        <v>1</v>
      </c>
      <c r="D99" s="346" t="s">
        <v>190</v>
      </c>
      <c r="E99" s="414"/>
      <c r="F99" s="414">
        <f t="shared" si="1"/>
        <v>0</v>
      </c>
      <c r="G99" s="345"/>
    </row>
    <row r="100" spans="1:256" s="350" customFormat="1">
      <c r="A100" s="363"/>
      <c r="B100" s="363"/>
      <c r="C100" s="458"/>
      <c r="D100" s="346"/>
      <c r="E100" s="414"/>
      <c r="F100" s="414"/>
      <c r="G100" s="345"/>
    </row>
    <row r="101" spans="1:256" s="350" customFormat="1">
      <c r="A101" s="434"/>
      <c r="B101" s="417"/>
      <c r="C101" s="459"/>
      <c r="D101" s="346"/>
      <c r="E101" s="414"/>
      <c r="F101" s="414"/>
      <c r="G101" s="345"/>
    </row>
    <row r="102" spans="1:256" s="346" customFormat="1">
      <c r="A102" s="434">
        <v>3</v>
      </c>
      <c r="B102" s="417" t="s">
        <v>323</v>
      </c>
      <c r="C102" s="459">
        <v>1</v>
      </c>
      <c r="D102" s="346" t="s">
        <v>190</v>
      </c>
      <c r="E102" s="414"/>
      <c r="F102" s="414">
        <f t="shared" si="1"/>
        <v>0</v>
      </c>
      <c r="G102" s="345"/>
      <c r="H102" s="345"/>
    </row>
    <row r="103" spans="1:256" s="389" customFormat="1">
      <c r="A103" s="434">
        <v>4</v>
      </c>
      <c r="B103" s="417" t="s">
        <v>478</v>
      </c>
      <c r="C103" s="459">
        <v>1</v>
      </c>
      <c r="D103" s="346" t="s">
        <v>190</v>
      </c>
      <c r="E103" s="414"/>
      <c r="F103" s="414">
        <f t="shared" si="1"/>
        <v>0</v>
      </c>
    </row>
    <row r="104" spans="1:256" s="389" customFormat="1">
      <c r="A104" s="431"/>
      <c r="B104" s="432"/>
      <c r="C104" s="460"/>
      <c r="D104" s="433"/>
      <c r="E104" s="414"/>
      <c r="F104" s="414"/>
    </row>
    <row r="105" spans="1:256" s="389" customFormat="1">
      <c r="A105" s="434">
        <v>5</v>
      </c>
      <c r="B105" s="418" t="s">
        <v>327</v>
      </c>
      <c r="C105" s="459">
        <v>1</v>
      </c>
      <c r="D105" s="346" t="s">
        <v>190</v>
      </c>
      <c r="E105" s="414"/>
      <c r="F105" s="414">
        <f t="shared" si="1"/>
        <v>0</v>
      </c>
    </row>
    <row r="106" spans="1:256" s="389" customFormat="1">
      <c r="A106" s="431"/>
      <c r="B106" s="431"/>
      <c r="C106" s="461"/>
      <c r="D106" s="436"/>
      <c r="E106" s="437"/>
      <c r="F106" s="437"/>
    </row>
    <row r="107" spans="1:256" s="389" customFormat="1" ht="63.75">
      <c r="A107" s="364" t="s">
        <v>840</v>
      </c>
      <c r="B107" s="393" t="s">
        <v>477</v>
      </c>
      <c r="C107" s="458"/>
      <c r="D107" s="363"/>
      <c r="E107" s="414"/>
      <c r="F107" s="414"/>
    </row>
    <row r="108" spans="1:256" s="389" customFormat="1">
      <c r="A108" s="422"/>
      <c r="B108" s="423"/>
      <c r="C108" s="462">
        <v>1</v>
      </c>
      <c r="D108" s="416" t="s">
        <v>190</v>
      </c>
      <c r="E108" s="424"/>
      <c r="F108" s="425">
        <f>C108*E108</f>
        <v>0</v>
      </c>
    </row>
    <row r="109" spans="1:256" s="389" customFormat="1">
      <c r="A109" s="354"/>
      <c r="B109" s="355"/>
      <c r="C109" s="455"/>
      <c r="D109" s="352"/>
      <c r="E109" s="360"/>
      <c r="F109" s="361"/>
    </row>
    <row r="110" spans="1:256" s="346" customFormat="1">
      <c r="A110" s="348" t="s">
        <v>185</v>
      </c>
      <c r="B110" s="349" t="s">
        <v>299</v>
      </c>
      <c r="C110" s="464"/>
      <c r="D110" s="350"/>
      <c r="E110" s="376"/>
      <c r="F110" s="377">
        <f>SUM(F81:F108)</f>
        <v>0</v>
      </c>
      <c r="G110" s="345"/>
      <c r="H110" s="345"/>
    </row>
    <row r="111" spans="1:256" s="350" customFormat="1">
      <c r="A111" s="354"/>
      <c r="B111" s="355"/>
      <c r="C111" s="455"/>
      <c r="D111" s="352"/>
      <c r="E111" s="352"/>
      <c r="F111" s="353"/>
      <c r="G111" s="381"/>
    </row>
    <row r="112" spans="1:256" s="352" customFormat="1">
      <c r="A112" s="348" t="s">
        <v>102</v>
      </c>
      <c r="B112" s="349" t="s">
        <v>170</v>
      </c>
      <c r="C112" s="464"/>
      <c r="D112" s="350"/>
      <c r="E112" s="376"/>
      <c r="F112" s="377"/>
      <c r="G112" s="345"/>
      <c r="H112" s="345"/>
      <c r="IV112" s="405"/>
    </row>
    <row r="113" spans="1:6">
      <c r="A113" s="364"/>
      <c r="B113" s="344"/>
      <c r="C113" s="454"/>
      <c r="D113" s="346"/>
      <c r="E113" s="356"/>
      <c r="F113" s="357"/>
    </row>
    <row r="114" spans="1:6" ht="25.5">
      <c r="A114" s="364" t="s">
        <v>300</v>
      </c>
      <c r="B114" s="393" t="s">
        <v>301</v>
      </c>
      <c r="C114" s="454"/>
      <c r="D114" s="346"/>
      <c r="E114" s="400"/>
      <c r="F114" s="401"/>
    </row>
    <row r="115" spans="1:6">
      <c r="A115" s="402"/>
      <c r="B115" s="393"/>
      <c r="C115" s="454">
        <f>C8</f>
        <v>52.43</v>
      </c>
      <c r="D115" s="346" t="s">
        <v>115</v>
      </c>
      <c r="E115" s="356"/>
      <c r="F115" s="357">
        <f>C115*E115</f>
        <v>0</v>
      </c>
    </row>
    <row r="116" spans="1:6">
      <c r="A116" s="402"/>
      <c r="B116" s="393"/>
      <c r="C116" s="454"/>
      <c r="D116" s="346"/>
      <c r="E116" s="356"/>
      <c r="F116" s="357"/>
    </row>
    <row r="117" spans="1:6" ht="51">
      <c r="A117" s="364" t="s">
        <v>302</v>
      </c>
      <c r="B117" s="393" t="s">
        <v>303</v>
      </c>
      <c r="C117" s="458"/>
      <c r="D117" s="363"/>
      <c r="E117" s="414"/>
      <c r="F117" s="414"/>
    </row>
    <row r="118" spans="1:6">
      <c r="A118" s="364"/>
      <c r="B118" s="393"/>
      <c r="C118" s="454">
        <f>C115</f>
        <v>52.43</v>
      </c>
      <c r="D118" s="346" t="s">
        <v>115</v>
      </c>
      <c r="E118" s="356"/>
      <c r="F118" s="357">
        <f>C118*E118</f>
        <v>0</v>
      </c>
    </row>
    <row r="119" spans="1:6">
      <c r="C119" s="457"/>
      <c r="E119" s="406"/>
    </row>
    <row r="120" spans="1:6">
      <c r="A120" s="348" t="s">
        <v>102</v>
      </c>
      <c r="B120" s="349" t="s">
        <v>304</v>
      </c>
      <c r="C120" s="464"/>
      <c r="D120" s="350"/>
      <c r="E120" s="376"/>
      <c r="F120" s="377">
        <f>SUM(F113:F119)</f>
        <v>0</v>
      </c>
    </row>
    <row r="121" spans="1:6">
      <c r="C121" s="457"/>
      <c r="E121" s="406"/>
    </row>
    <row r="123" spans="1:6">
      <c r="A123" s="429"/>
      <c r="B123" s="346"/>
      <c r="C123" s="466"/>
      <c r="D123" s="346"/>
      <c r="E123" s="346"/>
      <c r="F123" s="346"/>
    </row>
    <row r="124" spans="1:6">
      <c r="A124" s="429"/>
      <c r="B124" s="346"/>
      <c r="C124" s="466"/>
      <c r="D124" s="346"/>
      <c r="E124" s="346"/>
      <c r="F124" s="346"/>
    </row>
  </sheetData>
  <pageMargins left="0.70866141732283472" right="0.70866141732283472" top="0.74803149606299213" bottom="0.74803149606299213" header="0.31496062992125984" footer="0.31496062992125984"/>
  <pageSetup paperSize="9" orientation="portrait" r:id="rId1"/>
  <headerFooter>
    <oddHeader>&amp;CProjekt Dolenje in Gorenje Ponikve:
Kanalizacija, rekonstrukcija vodovoda in pločnik med naseljema</oddHeader>
    <oddFooter>&amp;R&amp;P/&amp;N</oddFooter>
  </headerFooter>
  <rowBreaks count="6" manualBreakCount="6">
    <brk id="11" max="5" man="1"/>
    <brk id="19" max="5" man="1"/>
    <brk id="40" max="5" man="1"/>
    <brk id="62" max="5" man="1"/>
    <brk id="79" max="5" man="1"/>
    <brk id="110" max="5"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V120"/>
  <sheetViews>
    <sheetView view="pageBreakPreview" topLeftCell="A94" zoomScale="140" zoomScaleNormal="150" zoomScaleSheetLayoutView="140" workbookViewId="0">
      <selection activeCell="E113" sqref="E113"/>
    </sheetView>
  </sheetViews>
  <sheetFormatPr defaultColWidth="9" defaultRowHeight="12.75"/>
  <cols>
    <col min="1" max="1" width="7.42578125" style="395" bestFit="1" customWidth="1"/>
    <col min="2" max="2" width="41.42578125" style="396" customWidth="1"/>
    <col min="3" max="3" width="8.7109375" style="472" customWidth="1"/>
    <col min="4" max="4" width="6.140625" style="394" customWidth="1"/>
    <col min="5" max="5" width="12.28515625" style="394" customWidth="1"/>
    <col min="6" max="6" width="10.42578125" style="428" customWidth="1"/>
    <col min="7" max="7" width="10.140625" style="394" customWidth="1"/>
    <col min="8" max="8" width="2" style="394" bestFit="1" customWidth="1"/>
    <col min="9" max="9" width="19.5703125" style="394" customWidth="1"/>
    <col min="10" max="10" width="4.85546875" style="394" customWidth="1"/>
    <col min="11" max="11" width="9.85546875" style="394" customWidth="1"/>
    <col min="12" max="12" width="12" style="394" customWidth="1"/>
    <col min="13" max="256" width="9" style="394"/>
    <col min="257" max="257" width="7.42578125" style="394" bestFit="1" customWidth="1"/>
    <col min="258" max="258" width="37.42578125" style="394" customWidth="1"/>
    <col min="259" max="259" width="14.140625" style="394" customWidth="1"/>
    <col min="260" max="260" width="6.140625" style="394" customWidth="1"/>
    <col min="261" max="261" width="12.28515625" style="394" customWidth="1"/>
    <col min="262" max="262" width="15.42578125" style="394" customWidth="1"/>
    <col min="263" max="263" width="10.140625" style="394" customWidth="1"/>
    <col min="264" max="264" width="2" style="394" bestFit="1" customWidth="1"/>
    <col min="265" max="265" width="39.42578125" style="394" customWidth="1"/>
    <col min="266" max="512" width="9" style="394"/>
    <col min="513" max="513" width="7.42578125" style="394" bestFit="1" customWidth="1"/>
    <col min="514" max="514" width="37.42578125" style="394" customWidth="1"/>
    <col min="515" max="515" width="14.140625" style="394" customWidth="1"/>
    <col min="516" max="516" width="6.140625" style="394" customWidth="1"/>
    <col min="517" max="517" width="12.28515625" style="394" customWidth="1"/>
    <col min="518" max="518" width="15.42578125" style="394" customWidth="1"/>
    <col min="519" max="519" width="10.140625" style="394" customWidth="1"/>
    <col min="520" max="520" width="2" style="394" bestFit="1" customWidth="1"/>
    <col min="521" max="521" width="39.42578125" style="394" customWidth="1"/>
    <col min="522" max="768" width="9" style="394"/>
    <col min="769" max="769" width="7.42578125" style="394" bestFit="1" customWidth="1"/>
    <col min="770" max="770" width="37.42578125" style="394" customWidth="1"/>
    <col min="771" max="771" width="14.140625" style="394" customWidth="1"/>
    <col min="772" max="772" width="6.140625" style="394" customWidth="1"/>
    <col min="773" max="773" width="12.28515625" style="394" customWidth="1"/>
    <col min="774" max="774" width="15.42578125" style="394" customWidth="1"/>
    <col min="775" max="775" width="10.140625" style="394" customWidth="1"/>
    <col min="776" max="776" width="2" style="394" bestFit="1" customWidth="1"/>
    <col min="777" max="777" width="39.42578125" style="394" customWidth="1"/>
    <col min="778" max="1024" width="9" style="394"/>
    <col min="1025" max="1025" width="7.42578125" style="394" bestFit="1" customWidth="1"/>
    <col min="1026" max="1026" width="37.42578125" style="394" customWidth="1"/>
    <col min="1027" max="1027" width="14.140625" style="394" customWidth="1"/>
    <col min="1028" max="1028" width="6.140625" style="394" customWidth="1"/>
    <col min="1029" max="1029" width="12.28515625" style="394" customWidth="1"/>
    <col min="1030" max="1030" width="15.42578125" style="394" customWidth="1"/>
    <col min="1031" max="1031" width="10.140625" style="394" customWidth="1"/>
    <col min="1032" max="1032" width="2" style="394" bestFit="1" customWidth="1"/>
    <col min="1033" max="1033" width="39.42578125" style="394" customWidth="1"/>
    <col min="1034" max="1280" width="9" style="394"/>
    <col min="1281" max="1281" width="7.42578125" style="394" bestFit="1" customWidth="1"/>
    <col min="1282" max="1282" width="37.42578125" style="394" customWidth="1"/>
    <col min="1283" max="1283" width="14.140625" style="394" customWidth="1"/>
    <col min="1284" max="1284" width="6.140625" style="394" customWidth="1"/>
    <col min="1285" max="1285" width="12.28515625" style="394" customWidth="1"/>
    <col min="1286" max="1286" width="15.42578125" style="394" customWidth="1"/>
    <col min="1287" max="1287" width="10.140625" style="394" customWidth="1"/>
    <col min="1288" max="1288" width="2" style="394" bestFit="1" customWidth="1"/>
    <col min="1289" max="1289" width="39.42578125" style="394" customWidth="1"/>
    <col min="1290" max="1536" width="9" style="394"/>
    <col min="1537" max="1537" width="7.42578125" style="394" bestFit="1" customWidth="1"/>
    <col min="1538" max="1538" width="37.42578125" style="394" customWidth="1"/>
    <col min="1539" max="1539" width="14.140625" style="394" customWidth="1"/>
    <col min="1540" max="1540" width="6.140625" style="394" customWidth="1"/>
    <col min="1541" max="1541" width="12.28515625" style="394" customWidth="1"/>
    <col min="1542" max="1542" width="15.42578125" style="394" customWidth="1"/>
    <col min="1543" max="1543" width="10.140625" style="394" customWidth="1"/>
    <col min="1544" max="1544" width="2" style="394" bestFit="1" customWidth="1"/>
    <col min="1545" max="1545" width="39.42578125" style="394" customWidth="1"/>
    <col min="1546" max="1792" width="9" style="394"/>
    <col min="1793" max="1793" width="7.42578125" style="394" bestFit="1" customWidth="1"/>
    <col min="1794" max="1794" width="37.42578125" style="394" customWidth="1"/>
    <col min="1795" max="1795" width="14.140625" style="394" customWidth="1"/>
    <col min="1796" max="1796" width="6.140625" style="394" customWidth="1"/>
    <col min="1797" max="1797" width="12.28515625" style="394" customWidth="1"/>
    <col min="1798" max="1798" width="15.42578125" style="394" customWidth="1"/>
    <col min="1799" max="1799" width="10.140625" style="394" customWidth="1"/>
    <col min="1800" max="1800" width="2" style="394" bestFit="1" customWidth="1"/>
    <col min="1801" max="1801" width="39.42578125" style="394" customWidth="1"/>
    <col min="1802" max="2048" width="9" style="394"/>
    <col min="2049" max="2049" width="7.42578125" style="394" bestFit="1" customWidth="1"/>
    <col min="2050" max="2050" width="37.42578125" style="394" customWidth="1"/>
    <col min="2051" max="2051" width="14.140625" style="394" customWidth="1"/>
    <col min="2052" max="2052" width="6.140625" style="394" customWidth="1"/>
    <col min="2053" max="2053" width="12.28515625" style="394" customWidth="1"/>
    <col min="2054" max="2054" width="15.42578125" style="394" customWidth="1"/>
    <col min="2055" max="2055" width="10.140625" style="394" customWidth="1"/>
    <col min="2056" max="2056" width="2" style="394" bestFit="1" customWidth="1"/>
    <col min="2057" max="2057" width="39.42578125" style="394" customWidth="1"/>
    <col min="2058" max="2304" width="9" style="394"/>
    <col min="2305" max="2305" width="7.42578125" style="394" bestFit="1" customWidth="1"/>
    <col min="2306" max="2306" width="37.42578125" style="394" customWidth="1"/>
    <col min="2307" max="2307" width="14.140625" style="394" customWidth="1"/>
    <col min="2308" max="2308" width="6.140625" style="394" customWidth="1"/>
    <col min="2309" max="2309" width="12.28515625" style="394" customWidth="1"/>
    <col min="2310" max="2310" width="15.42578125" style="394" customWidth="1"/>
    <col min="2311" max="2311" width="10.140625" style="394" customWidth="1"/>
    <col min="2312" max="2312" width="2" style="394" bestFit="1" customWidth="1"/>
    <col min="2313" max="2313" width="39.42578125" style="394" customWidth="1"/>
    <col min="2314" max="2560" width="9" style="394"/>
    <col min="2561" max="2561" width="7.42578125" style="394" bestFit="1" customWidth="1"/>
    <col min="2562" max="2562" width="37.42578125" style="394" customWidth="1"/>
    <col min="2563" max="2563" width="14.140625" style="394" customWidth="1"/>
    <col min="2564" max="2564" width="6.140625" style="394" customWidth="1"/>
    <col min="2565" max="2565" width="12.28515625" style="394" customWidth="1"/>
    <col min="2566" max="2566" width="15.42578125" style="394" customWidth="1"/>
    <col min="2567" max="2567" width="10.140625" style="394" customWidth="1"/>
    <col min="2568" max="2568" width="2" style="394" bestFit="1" customWidth="1"/>
    <col min="2569" max="2569" width="39.42578125" style="394" customWidth="1"/>
    <col min="2570" max="2816" width="9" style="394"/>
    <col min="2817" max="2817" width="7.42578125" style="394" bestFit="1" customWidth="1"/>
    <col min="2818" max="2818" width="37.42578125" style="394" customWidth="1"/>
    <col min="2819" max="2819" width="14.140625" style="394" customWidth="1"/>
    <col min="2820" max="2820" width="6.140625" style="394" customWidth="1"/>
    <col min="2821" max="2821" width="12.28515625" style="394" customWidth="1"/>
    <col min="2822" max="2822" width="15.42578125" style="394" customWidth="1"/>
    <col min="2823" max="2823" width="10.140625" style="394" customWidth="1"/>
    <col min="2824" max="2824" width="2" style="394" bestFit="1" customWidth="1"/>
    <col min="2825" max="2825" width="39.42578125" style="394" customWidth="1"/>
    <col min="2826" max="3072" width="9" style="394"/>
    <col min="3073" max="3073" width="7.42578125" style="394" bestFit="1" customWidth="1"/>
    <col min="3074" max="3074" width="37.42578125" style="394" customWidth="1"/>
    <col min="3075" max="3075" width="14.140625" style="394" customWidth="1"/>
    <col min="3076" max="3076" width="6.140625" style="394" customWidth="1"/>
    <col min="3077" max="3077" width="12.28515625" style="394" customWidth="1"/>
    <col min="3078" max="3078" width="15.42578125" style="394" customWidth="1"/>
    <col min="3079" max="3079" width="10.140625" style="394" customWidth="1"/>
    <col min="3080" max="3080" width="2" style="394" bestFit="1" customWidth="1"/>
    <col min="3081" max="3081" width="39.42578125" style="394" customWidth="1"/>
    <col min="3082" max="3328" width="9" style="394"/>
    <col min="3329" max="3329" width="7.42578125" style="394" bestFit="1" customWidth="1"/>
    <col min="3330" max="3330" width="37.42578125" style="394" customWidth="1"/>
    <col min="3331" max="3331" width="14.140625" style="394" customWidth="1"/>
    <col min="3332" max="3332" width="6.140625" style="394" customWidth="1"/>
    <col min="3333" max="3333" width="12.28515625" style="394" customWidth="1"/>
    <col min="3334" max="3334" width="15.42578125" style="394" customWidth="1"/>
    <col min="3335" max="3335" width="10.140625" style="394" customWidth="1"/>
    <col min="3336" max="3336" width="2" style="394" bestFit="1" customWidth="1"/>
    <col min="3337" max="3337" width="39.42578125" style="394" customWidth="1"/>
    <col min="3338" max="3584" width="9" style="394"/>
    <col min="3585" max="3585" width="7.42578125" style="394" bestFit="1" customWidth="1"/>
    <col min="3586" max="3586" width="37.42578125" style="394" customWidth="1"/>
    <col min="3587" max="3587" width="14.140625" style="394" customWidth="1"/>
    <col min="3588" max="3588" width="6.140625" style="394" customWidth="1"/>
    <col min="3589" max="3589" width="12.28515625" style="394" customWidth="1"/>
    <col min="3590" max="3590" width="15.42578125" style="394" customWidth="1"/>
    <col min="3591" max="3591" width="10.140625" style="394" customWidth="1"/>
    <col min="3592" max="3592" width="2" style="394" bestFit="1" customWidth="1"/>
    <col min="3593" max="3593" width="39.42578125" style="394" customWidth="1"/>
    <col min="3594" max="3840" width="9" style="394"/>
    <col min="3841" max="3841" width="7.42578125" style="394" bestFit="1" customWidth="1"/>
    <col min="3842" max="3842" width="37.42578125" style="394" customWidth="1"/>
    <col min="3843" max="3843" width="14.140625" style="394" customWidth="1"/>
    <col min="3844" max="3844" width="6.140625" style="394" customWidth="1"/>
    <col min="3845" max="3845" width="12.28515625" style="394" customWidth="1"/>
    <col min="3846" max="3846" width="15.42578125" style="394" customWidth="1"/>
    <col min="3847" max="3847" width="10.140625" style="394" customWidth="1"/>
    <col min="3848" max="3848" width="2" style="394" bestFit="1" customWidth="1"/>
    <col min="3849" max="3849" width="39.42578125" style="394" customWidth="1"/>
    <col min="3850" max="4096" width="9" style="394"/>
    <col min="4097" max="4097" width="7.42578125" style="394" bestFit="1" customWidth="1"/>
    <col min="4098" max="4098" width="37.42578125" style="394" customWidth="1"/>
    <col min="4099" max="4099" width="14.140625" style="394" customWidth="1"/>
    <col min="4100" max="4100" width="6.140625" style="394" customWidth="1"/>
    <col min="4101" max="4101" width="12.28515625" style="394" customWidth="1"/>
    <col min="4102" max="4102" width="15.42578125" style="394" customWidth="1"/>
    <col min="4103" max="4103" width="10.140625" style="394" customWidth="1"/>
    <col min="4104" max="4104" width="2" style="394" bestFit="1" customWidth="1"/>
    <col min="4105" max="4105" width="39.42578125" style="394" customWidth="1"/>
    <col min="4106" max="4352" width="9" style="394"/>
    <col min="4353" max="4353" width="7.42578125" style="394" bestFit="1" customWidth="1"/>
    <col min="4354" max="4354" width="37.42578125" style="394" customWidth="1"/>
    <col min="4355" max="4355" width="14.140625" style="394" customWidth="1"/>
    <col min="4356" max="4356" width="6.140625" style="394" customWidth="1"/>
    <col min="4357" max="4357" width="12.28515625" style="394" customWidth="1"/>
    <col min="4358" max="4358" width="15.42578125" style="394" customWidth="1"/>
    <col min="4359" max="4359" width="10.140625" style="394" customWidth="1"/>
    <col min="4360" max="4360" width="2" style="394" bestFit="1" customWidth="1"/>
    <col min="4361" max="4361" width="39.42578125" style="394" customWidth="1"/>
    <col min="4362" max="4608" width="9" style="394"/>
    <col min="4609" max="4609" width="7.42578125" style="394" bestFit="1" customWidth="1"/>
    <col min="4610" max="4610" width="37.42578125" style="394" customWidth="1"/>
    <col min="4611" max="4611" width="14.140625" style="394" customWidth="1"/>
    <col min="4612" max="4612" width="6.140625" style="394" customWidth="1"/>
    <col min="4613" max="4613" width="12.28515625" style="394" customWidth="1"/>
    <col min="4614" max="4614" width="15.42578125" style="394" customWidth="1"/>
    <col min="4615" max="4615" width="10.140625" style="394" customWidth="1"/>
    <col min="4616" max="4616" width="2" style="394" bestFit="1" customWidth="1"/>
    <col min="4617" max="4617" width="39.42578125" style="394" customWidth="1"/>
    <col min="4618" max="4864" width="9" style="394"/>
    <col min="4865" max="4865" width="7.42578125" style="394" bestFit="1" customWidth="1"/>
    <col min="4866" max="4866" width="37.42578125" style="394" customWidth="1"/>
    <col min="4867" max="4867" width="14.140625" style="394" customWidth="1"/>
    <col min="4868" max="4868" width="6.140625" style="394" customWidth="1"/>
    <col min="4869" max="4869" width="12.28515625" style="394" customWidth="1"/>
    <col min="4870" max="4870" width="15.42578125" style="394" customWidth="1"/>
    <col min="4871" max="4871" width="10.140625" style="394" customWidth="1"/>
    <col min="4872" max="4872" width="2" style="394" bestFit="1" customWidth="1"/>
    <col min="4873" max="4873" width="39.42578125" style="394" customWidth="1"/>
    <col min="4874" max="5120" width="9" style="394"/>
    <col min="5121" max="5121" width="7.42578125" style="394" bestFit="1" customWidth="1"/>
    <col min="5122" max="5122" width="37.42578125" style="394" customWidth="1"/>
    <col min="5123" max="5123" width="14.140625" style="394" customWidth="1"/>
    <col min="5124" max="5124" width="6.140625" style="394" customWidth="1"/>
    <col min="5125" max="5125" width="12.28515625" style="394" customWidth="1"/>
    <col min="5126" max="5126" width="15.42578125" style="394" customWidth="1"/>
    <col min="5127" max="5127" width="10.140625" style="394" customWidth="1"/>
    <col min="5128" max="5128" width="2" style="394" bestFit="1" customWidth="1"/>
    <col min="5129" max="5129" width="39.42578125" style="394" customWidth="1"/>
    <col min="5130" max="5376" width="9" style="394"/>
    <col min="5377" max="5377" width="7.42578125" style="394" bestFit="1" customWidth="1"/>
    <col min="5378" max="5378" width="37.42578125" style="394" customWidth="1"/>
    <col min="5379" max="5379" width="14.140625" style="394" customWidth="1"/>
    <col min="5380" max="5380" width="6.140625" style="394" customWidth="1"/>
    <col min="5381" max="5381" width="12.28515625" style="394" customWidth="1"/>
    <col min="5382" max="5382" width="15.42578125" style="394" customWidth="1"/>
    <col min="5383" max="5383" width="10.140625" style="394" customWidth="1"/>
    <col min="5384" max="5384" width="2" style="394" bestFit="1" customWidth="1"/>
    <col min="5385" max="5385" width="39.42578125" style="394" customWidth="1"/>
    <col min="5386" max="5632" width="9" style="394"/>
    <col min="5633" max="5633" width="7.42578125" style="394" bestFit="1" customWidth="1"/>
    <col min="5634" max="5634" width="37.42578125" style="394" customWidth="1"/>
    <col min="5635" max="5635" width="14.140625" style="394" customWidth="1"/>
    <col min="5636" max="5636" width="6.140625" style="394" customWidth="1"/>
    <col min="5637" max="5637" width="12.28515625" style="394" customWidth="1"/>
    <col min="5638" max="5638" width="15.42578125" style="394" customWidth="1"/>
    <col min="5639" max="5639" width="10.140625" style="394" customWidth="1"/>
    <col min="5640" max="5640" width="2" style="394" bestFit="1" customWidth="1"/>
    <col min="5641" max="5641" width="39.42578125" style="394" customWidth="1"/>
    <col min="5642" max="5888" width="9" style="394"/>
    <col min="5889" max="5889" width="7.42578125" style="394" bestFit="1" customWidth="1"/>
    <col min="5890" max="5890" width="37.42578125" style="394" customWidth="1"/>
    <col min="5891" max="5891" width="14.140625" style="394" customWidth="1"/>
    <col min="5892" max="5892" width="6.140625" style="394" customWidth="1"/>
    <col min="5893" max="5893" width="12.28515625" style="394" customWidth="1"/>
    <col min="5894" max="5894" width="15.42578125" style="394" customWidth="1"/>
    <col min="5895" max="5895" width="10.140625" style="394" customWidth="1"/>
    <col min="5896" max="5896" width="2" style="394" bestFit="1" customWidth="1"/>
    <col min="5897" max="5897" width="39.42578125" style="394" customWidth="1"/>
    <col min="5898" max="6144" width="9" style="394"/>
    <col min="6145" max="6145" width="7.42578125" style="394" bestFit="1" customWidth="1"/>
    <col min="6146" max="6146" width="37.42578125" style="394" customWidth="1"/>
    <col min="6147" max="6147" width="14.140625" style="394" customWidth="1"/>
    <col min="6148" max="6148" width="6.140625" style="394" customWidth="1"/>
    <col min="6149" max="6149" width="12.28515625" style="394" customWidth="1"/>
    <col min="6150" max="6150" width="15.42578125" style="394" customWidth="1"/>
    <col min="6151" max="6151" width="10.140625" style="394" customWidth="1"/>
    <col min="6152" max="6152" width="2" style="394" bestFit="1" customWidth="1"/>
    <col min="6153" max="6153" width="39.42578125" style="394" customWidth="1"/>
    <col min="6154" max="6400" width="9" style="394"/>
    <col min="6401" max="6401" width="7.42578125" style="394" bestFit="1" customWidth="1"/>
    <col min="6402" max="6402" width="37.42578125" style="394" customWidth="1"/>
    <col min="6403" max="6403" width="14.140625" style="394" customWidth="1"/>
    <col min="6404" max="6404" width="6.140625" style="394" customWidth="1"/>
    <col min="6405" max="6405" width="12.28515625" style="394" customWidth="1"/>
    <col min="6406" max="6406" width="15.42578125" style="394" customWidth="1"/>
    <col min="6407" max="6407" width="10.140625" style="394" customWidth="1"/>
    <col min="6408" max="6408" width="2" style="394" bestFit="1" customWidth="1"/>
    <col min="6409" max="6409" width="39.42578125" style="394" customWidth="1"/>
    <col min="6410" max="6656" width="9" style="394"/>
    <col min="6657" max="6657" width="7.42578125" style="394" bestFit="1" customWidth="1"/>
    <col min="6658" max="6658" width="37.42578125" style="394" customWidth="1"/>
    <col min="6659" max="6659" width="14.140625" style="394" customWidth="1"/>
    <col min="6660" max="6660" width="6.140625" style="394" customWidth="1"/>
    <col min="6661" max="6661" width="12.28515625" style="394" customWidth="1"/>
    <col min="6662" max="6662" width="15.42578125" style="394" customWidth="1"/>
    <col min="6663" max="6663" width="10.140625" style="394" customWidth="1"/>
    <col min="6664" max="6664" width="2" style="394" bestFit="1" customWidth="1"/>
    <col min="6665" max="6665" width="39.42578125" style="394" customWidth="1"/>
    <col min="6666" max="6912" width="9" style="394"/>
    <col min="6913" max="6913" width="7.42578125" style="394" bestFit="1" customWidth="1"/>
    <col min="6914" max="6914" width="37.42578125" style="394" customWidth="1"/>
    <col min="6915" max="6915" width="14.140625" style="394" customWidth="1"/>
    <col min="6916" max="6916" width="6.140625" style="394" customWidth="1"/>
    <col min="6917" max="6917" width="12.28515625" style="394" customWidth="1"/>
    <col min="6918" max="6918" width="15.42578125" style="394" customWidth="1"/>
    <col min="6919" max="6919" width="10.140625" style="394" customWidth="1"/>
    <col min="6920" max="6920" width="2" style="394" bestFit="1" customWidth="1"/>
    <col min="6921" max="6921" width="39.42578125" style="394" customWidth="1"/>
    <col min="6922" max="7168" width="9" style="394"/>
    <col min="7169" max="7169" width="7.42578125" style="394" bestFit="1" customWidth="1"/>
    <col min="7170" max="7170" width="37.42578125" style="394" customWidth="1"/>
    <col min="7171" max="7171" width="14.140625" style="394" customWidth="1"/>
    <col min="7172" max="7172" width="6.140625" style="394" customWidth="1"/>
    <col min="7173" max="7173" width="12.28515625" style="394" customWidth="1"/>
    <col min="7174" max="7174" width="15.42578125" style="394" customWidth="1"/>
    <col min="7175" max="7175" width="10.140625" style="394" customWidth="1"/>
    <col min="7176" max="7176" width="2" style="394" bestFit="1" customWidth="1"/>
    <col min="7177" max="7177" width="39.42578125" style="394" customWidth="1"/>
    <col min="7178" max="7424" width="9" style="394"/>
    <col min="7425" max="7425" width="7.42578125" style="394" bestFit="1" customWidth="1"/>
    <col min="7426" max="7426" width="37.42578125" style="394" customWidth="1"/>
    <col min="7427" max="7427" width="14.140625" style="394" customWidth="1"/>
    <col min="7428" max="7428" width="6.140625" style="394" customWidth="1"/>
    <col min="7429" max="7429" width="12.28515625" style="394" customWidth="1"/>
    <col min="7430" max="7430" width="15.42578125" style="394" customWidth="1"/>
    <col min="7431" max="7431" width="10.140625" style="394" customWidth="1"/>
    <col min="7432" max="7432" width="2" style="394" bestFit="1" customWidth="1"/>
    <col min="7433" max="7433" width="39.42578125" style="394" customWidth="1"/>
    <col min="7434" max="7680" width="9" style="394"/>
    <col min="7681" max="7681" width="7.42578125" style="394" bestFit="1" customWidth="1"/>
    <col min="7682" max="7682" width="37.42578125" style="394" customWidth="1"/>
    <col min="7683" max="7683" width="14.140625" style="394" customWidth="1"/>
    <col min="7684" max="7684" width="6.140625" style="394" customWidth="1"/>
    <col min="7685" max="7685" width="12.28515625" style="394" customWidth="1"/>
    <col min="7686" max="7686" width="15.42578125" style="394" customWidth="1"/>
    <col min="7687" max="7687" width="10.140625" style="394" customWidth="1"/>
    <col min="7688" max="7688" width="2" style="394" bestFit="1" customWidth="1"/>
    <col min="7689" max="7689" width="39.42578125" style="394" customWidth="1"/>
    <col min="7690" max="7936" width="9" style="394"/>
    <col min="7937" max="7937" width="7.42578125" style="394" bestFit="1" customWidth="1"/>
    <col min="7938" max="7938" width="37.42578125" style="394" customWidth="1"/>
    <col min="7939" max="7939" width="14.140625" style="394" customWidth="1"/>
    <col min="7940" max="7940" width="6.140625" style="394" customWidth="1"/>
    <col min="7941" max="7941" width="12.28515625" style="394" customWidth="1"/>
    <col min="7942" max="7942" width="15.42578125" style="394" customWidth="1"/>
    <col min="7943" max="7943" width="10.140625" style="394" customWidth="1"/>
    <col min="7944" max="7944" width="2" style="394" bestFit="1" customWidth="1"/>
    <col min="7945" max="7945" width="39.42578125" style="394" customWidth="1"/>
    <col min="7946" max="8192" width="9" style="394"/>
    <col min="8193" max="8193" width="7.42578125" style="394" bestFit="1" customWidth="1"/>
    <col min="8194" max="8194" width="37.42578125" style="394" customWidth="1"/>
    <col min="8195" max="8195" width="14.140625" style="394" customWidth="1"/>
    <col min="8196" max="8196" width="6.140625" style="394" customWidth="1"/>
    <col min="8197" max="8197" width="12.28515625" style="394" customWidth="1"/>
    <col min="8198" max="8198" width="15.42578125" style="394" customWidth="1"/>
    <col min="8199" max="8199" width="10.140625" style="394" customWidth="1"/>
    <col min="8200" max="8200" width="2" style="394" bestFit="1" customWidth="1"/>
    <col min="8201" max="8201" width="39.42578125" style="394" customWidth="1"/>
    <col min="8202" max="8448" width="9" style="394"/>
    <col min="8449" max="8449" width="7.42578125" style="394" bestFit="1" customWidth="1"/>
    <col min="8450" max="8450" width="37.42578125" style="394" customWidth="1"/>
    <col min="8451" max="8451" width="14.140625" style="394" customWidth="1"/>
    <col min="8452" max="8452" width="6.140625" style="394" customWidth="1"/>
    <col min="8453" max="8453" width="12.28515625" style="394" customWidth="1"/>
    <col min="8454" max="8454" width="15.42578125" style="394" customWidth="1"/>
    <col min="8455" max="8455" width="10.140625" style="394" customWidth="1"/>
    <col min="8456" max="8456" width="2" style="394" bestFit="1" customWidth="1"/>
    <col min="8457" max="8457" width="39.42578125" style="394" customWidth="1"/>
    <col min="8458" max="8704" width="9" style="394"/>
    <col min="8705" max="8705" width="7.42578125" style="394" bestFit="1" customWidth="1"/>
    <col min="8706" max="8706" width="37.42578125" style="394" customWidth="1"/>
    <col min="8707" max="8707" width="14.140625" style="394" customWidth="1"/>
    <col min="8708" max="8708" width="6.140625" style="394" customWidth="1"/>
    <col min="8709" max="8709" width="12.28515625" style="394" customWidth="1"/>
    <col min="8710" max="8710" width="15.42578125" style="394" customWidth="1"/>
    <col min="8711" max="8711" width="10.140625" style="394" customWidth="1"/>
    <col min="8712" max="8712" width="2" style="394" bestFit="1" customWidth="1"/>
    <col min="8713" max="8713" width="39.42578125" style="394" customWidth="1"/>
    <col min="8714" max="8960" width="9" style="394"/>
    <col min="8961" max="8961" width="7.42578125" style="394" bestFit="1" customWidth="1"/>
    <col min="8962" max="8962" width="37.42578125" style="394" customWidth="1"/>
    <col min="8963" max="8963" width="14.140625" style="394" customWidth="1"/>
    <col min="8964" max="8964" width="6.140625" style="394" customWidth="1"/>
    <col min="8965" max="8965" width="12.28515625" style="394" customWidth="1"/>
    <col min="8966" max="8966" width="15.42578125" style="394" customWidth="1"/>
    <col min="8967" max="8967" width="10.140625" style="394" customWidth="1"/>
    <col min="8968" max="8968" width="2" style="394" bestFit="1" customWidth="1"/>
    <col min="8969" max="8969" width="39.42578125" style="394" customWidth="1"/>
    <col min="8970" max="9216" width="9" style="394"/>
    <col min="9217" max="9217" width="7.42578125" style="394" bestFit="1" customWidth="1"/>
    <col min="9218" max="9218" width="37.42578125" style="394" customWidth="1"/>
    <col min="9219" max="9219" width="14.140625" style="394" customWidth="1"/>
    <col min="9220" max="9220" width="6.140625" style="394" customWidth="1"/>
    <col min="9221" max="9221" width="12.28515625" style="394" customWidth="1"/>
    <col min="9222" max="9222" width="15.42578125" style="394" customWidth="1"/>
    <col min="9223" max="9223" width="10.140625" style="394" customWidth="1"/>
    <col min="9224" max="9224" width="2" style="394" bestFit="1" customWidth="1"/>
    <col min="9225" max="9225" width="39.42578125" style="394" customWidth="1"/>
    <col min="9226" max="9472" width="9" style="394"/>
    <col min="9473" max="9473" width="7.42578125" style="394" bestFit="1" customWidth="1"/>
    <col min="9474" max="9474" width="37.42578125" style="394" customWidth="1"/>
    <col min="9475" max="9475" width="14.140625" style="394" customWidth="1"/>
    <col min="9476" max="9476" width="6.140625" style="394" customWidth="1"/>
    <col min="9477" max="9477" width="12.28515625" style="394" customWidth="1"/>
    <col min="9478" max="9478" width="15.42578125" style="394" customWidth="1"/>
    <col min="9479" max="9479" width="10.140625" style="394" customWidth="1"/>
    <col min="9480" max="9480" width="2" style="394" bestFit="1" customWidth="1"/>
    <col min="9481" max="9481" width="39.42578125" style="394" customWidth="1"/>
    <col min="9482" max="9728" width="9" style="394"/>
    <col min="9729" max="9729" width="7.42578125" style="394" bestFit="1" customWidth="1"/>
    <col min="9730" max="9730" width="37.42578125" style="394" customWidth="1"/>
    <col min="9731" max="9731" width="14.140625" style="394" customWidth="1"/>
    <col min="9732" max="9732" width="6.140625" style="394" customWidth="1"/>
    <col min="9733" max="9733" width="12.28515625" style="394" customWidth="1"/>
    <col min="9734" max="9734" width="15.42578125" style="394" customWidth="1"/>
    <col min="9735" max="9735" width="10.140625" style="394" customWidth="1"/>
    <col min="9736" max="9736" width="2" style="394" bestFit="1" customWidth="1"/>
    <col min="9737" max="9737" width="39.42578125" style="394" customWidth="1"/>
    <col min="9738" max="9984" width="9" style="394"/>
    <col min="9985" max="9985" width="7.42578125" style="394" bestFit="1" customWidth="1"/>
    <col min="9986" max="9986" width="37.42578125" style="394" customWidth="1"/>
    <col min="9987" max="9987" width="14.140625" style="394" customWidth="1"/>
    <col min="9988" max="9988" width="6.140625" style="394" customWidth="1"/>
    <col min="9989" max="9989" width="12.28515625" style="394" customWidth="1"/>
    <col min="9990" max="9990" width="15.42578125" style="394" customWidth="1"/>
    <col min="9991" max="9991" width="10.140625" style="394" customWidth="1"/>
    <col min="9992" max="9992" width="2" style="394" bestFit="1" customWidth="1"/>
    <col min="9993" max="9993" width="39.42578125" style="394" customWidth="1"/>
    <col min="9994" max="10240" width="9" style="394"/>
    <col min="10241" max="10241" width="7.42578125" style="394" bestFit="1" customWidth="1"/>
    <col min="10242" max="10242" width="37.42578125" style="394" customWidth="1"/>
    <col min="10243" max="10243" width="14.140625" style="394" customWidth="1"/>
    <col min="10244" max="10244" width="6.140625" style="394" customWidth="1"/>
    <col min="10245" max="10245" width="12.28515625" style="394" customWidth="1"/>
    <col min="10246" max="10246" width="15.42578125" style="394" customWidth="1"/>
    <col min="10247" max="10247" width="10.140625" style="394" customWidth="1"/>
    <col min="10248" max="10248" width="2" style="394" bestFit="1" customWidth="1"/>
    <col min="10249" max="10249" width="39.42578125" style="394" customWidth="1"/>
    <col min="10250" max="10496" width="9" style="394"/>
    <col min="10497" max="10497" width="7.42578125" style="394" bestFit="1" customWidth="1"/>
    <col min="10498" max="10498" width="37.42578125" style="394" customWidth="1"/>
    <col min="10499" max="10499" width="14.140625" style="394" customWidth="1"/>
    <col min="10500" max="10500" width="6.140625" style="394" customWidth="1"/>
    <col min="10501" max="10501" width="12.28515625" style="394" customWidth="1"/>
    <col min="10502" max="10502" width="15.42578125" style="394" customWidth="1"/>
    <col min="10503" max="10503" width="10.140625" style="394" customWidth="1"/>
    <col min="10504" max="10504" width="2" style="394" bestFit="1" customWidth="1"/>
    <col min="10505" max="10505" width="39.42578125" style="394" customWidth="1"/>
    <col min="10506" max="10752" width="9" style="394"/>
    <col min="10753" max="10753" width="7.42578125" style="394" bestFit="1" customWidth="1"/>
    <col min="10754" max="10754" width="37.42578125" style="394" customWidth="1"/>
    <col min="10755" max="10755" width="14.140625" style="394" customWidth="1"/>
    <col min="10756" max="10756" width="6.140625" style="394" customWidth="1"/>
    <col min="10757" max="10757" width="12.28515625" style="394" customWidth="1"/>
    <col min="10758" max="10758" width="15.42578125" style="394" customWidth="1"/>
    <col min="10759" max="10759" width="10.140625" style="394" customWidth="1"/>
    <col min="10760" max="10760" width="2" style="394" bestFit="1" customWidth="1"/>
    <col min="10761" max="10761" width="39.42578125" style="394" customWidth="1"/>
    <col min="10762" max="11008" width="9" style="394"/>
    <col min="11009" max="11009" width="7.42578125" style="394" bestFit="1" customWidth="1"/>
    <col min="11010" max="11010" width="37.42578125" style="394" customWidth="1"/>
    <col min="11011" max="11011" width="14.140625" style="394" customWidth="1"/>
    <col min="11012" max="11012" width="6.140625" style="394" customWidth="1"/>
    <col min="11013" max="11013" width="12.28515625" style="394" customWidth="1"/>
    <col min="11014" max="11014" width="15.42578125" style="394" customWidth="1"/>
    <col min="11015" max="11015" width="10.140625" style="394" customWidth="1"/>
    <col min="11016" max="11016" width="2" style="394" bestFit="1" customWidth="1"/>
    <col min="11017" max="11017" width="39.42578125" style="394" customWidth="1"/>
    <col min="11018" max="11264" width="9" style="394"/>
    <col min="11265" max="11265" width="7.42578125" style="394" bestFit="1" customWidth="1"/>
    <col min="11266" max="11266" width="37.42578125" style="394" customWidth="1"/>
    <col min="11267" max="11267" width="14.140625" style="394" customWidth="1"/>
    <col min="11268" max="11268" width="6.140625" style="394" customWidth="1"/>
    <col min="11269" max="11269" width="12.28515625" style="394" customWidth="1"/>
    <col min="11270" max="11270" width="15.42578125" style="394" customWidth="1"/>
    <col min="11271" max="11271" width="10.140625" style="394" customWidth="1"/>
    <col min="11272" max="11272" width="2" style="394" bestFit="1" customWidth="1"/>
    <col min="11273" max="11273" width="39.42578125" style="394" customWidth="1"/>
    <col min="11274" max="11520" width="9" style="394"/>
    <col min="11521" max="11521" width="7.42578125" style="394" bestFit="1" customWidth="1"/>
    <col min="11522" max="11522" width="37.42578125" style="394" customWidth="1"/>
    <col min="11523" max="11523" width="14.140625" style="394" customWidth="1"/>
    <col min="11524" max="11524" width="6.140625" style="394" customWidth="1"/>
    <col min="11525" max="11525" width="12.28515625" style="394" customWidth="1"/>
    <col min="11526" max="11526" width="15.42578125" style="394" customWidth="1"/>
    <col min="11527" max="11527" width="10.140625" style="394" customWidth="1"/>
    <col min="11528" max="11528" width="2" style="394" bestFit="1" customWidth="1"/>
    <col min="11529" max="11529" width="39.42578125" style="394" customWidth="1"/>
    <col min="11530" max="11776" width="9" style="394"/>
    <col min="11777" max="11777" width="7.42578125" style="394" bestFit="1" customWidth="1"/>
    <col min="11778" max="11778" width="37.42578125" style="394" customWidth="1"/>
    <col min="11779" max="11779" width="14.140625" style="394" customWidth="1"/>
    <col min="11780" max="11780" width="6.140625" style="394" customWidth="1"/>
    <col min="11781" max="11781" width="12.28515625" style="394" customWidth="1"/>
    <col min="11782" max="11782" width="15.42578125" style="394" customWidth="1"/>
    <col min="11783" max="11783" width="10.140625" style="394" customWidth="1"/>
    <col min="11784" max="11784" width="2" style="394" bestFit="1" customWidth="1"/>
    <col min="11785" max="11785" width="39.42578125" style="394" customWidth="1"/>
    <col min="11786" max="12032" width="9" style="394"/>
    <col min="12033" max="12033" width="7.42578125" style="394" bestFit="1" customWidth="1"/>
    <col min="12034" max="12034" width="37.42578125" style="394" customWidth="1"/>
    <col min="12035" max="12035" width="14.140625" style="394" customWidth="1"/>
    <col min="12036" max="12036" width="6.140625" style="394" customWidth="1"/>
    <col min="12037" max="12037" width="12.28515625" style="394" customWidth="1"/>
    <col min="12038" max="12038" width="15.42578125" style="394" customWidth="1"/>
    <col min="12039" max="12039" width="10.140625" style="394" customWidth="1"/>
    <col min="12040" max="12040" width="2" style="394" bestFit="1" customWidth="1"/>
    <col min="12041" max="12041" width="39.42578125" style="394" customWidth="1"/>
    <col min="12042" max="12288" width="9" style="394"/>
    <col min="12289" max="12289" width="7.42578125" style="394" bestFit="1" customWidth="1"/>
    <col min="12290" max="12290" width="37.42578125" style="394" customWidth="1"/>
    <col min="12291" max="12291" width="14.140625" style="394" customWidth="1"/>
    <col min="12292" max="12292" width="6.140625" style="394" customWidth="1"/>
    <col min="12293" max="12293" width="12.28515625" style="394" customWidth="1"/>
    <col min="12294" max="12294" width="15.42578125" style="394" customWidth="1"/>
    <col min="12295" max="12295" width="10.140625" style="394" customWidth="1"/>
    <col min="12296" max="12296" width="2" style="394" bestFit="1" customWidth="1"/>
    <col min="12297" max="12297" width="39.42578125" style="394" customWidth="1"/>
    <col min="12298" max="12544" width="9" style="394"/>
    <col min="12545" max="12545" width="7.42578125" style="394" bestFit="1" customWidth="1"/>
    <col min="12546" max="12546" width="37.42578125" style="394" customWidth="1"/>
    <col min="12547" max="12547" width="14.140625" style="394" customWidth="1"/>
    <col min="12548" max="12548" width="6.140625" style="394" customWidth="1"/>
    <col min="12549" max="12549" width="12.28515625" style="394" customWidth="1"/>
    <col min="12550" max="12550" width="15.42578125" style="394" customWidth="1"/>
    <col min="12551" max="12551" width="10.140625" style="394" customWidth="1"/>
    <col min="12552" max="12552" width="2" style="394" bestFit="1" customWidth="1"/>
    <col min="12553" max="12553" width="39.42578125" style="394" customWidth="1"/>
    <col min="12554" max="12800" width="9" style="394"/>
    <col min="12801" max="12801" width="7.42578125" style="394" bestFit="1" customWidth="1"/>
    <col min="12802" max="12802" width="37.42578125" style="394" customWidth="1"/>
    <col min="12803" max="12803" width="14.140625" style="394" customWidth="1"/>
    <col min="12804" max="12804" width="6.140625" style="394" customWidth="1"/>
    <col min="12805" max="12805" width="12.28515625" style="394" customWidth="1"/>
    <col min="12806" max="12806" width="15.42578125" style="394" customWidth="1"/>
    <col min="12807" max="12807" width="10.140625" style="394" customWidth="1"/>
    <col min="12808" max="12808" width="2" style="394" bestFit="1" customWidth="1"/>
    <col min="12809" max="12809" width="39.42578125" style="394" customWidth="1"/>
    <col min="12810" max="13056" width="9" style="394"/>
    <col min="13057" max="13057" width="7.42578125" style="394" bestFit="1" customWidth="1"/>
    <col min="13058" max="13058" width="37.42578125" style="394" customWidth="1"/>
    <col min="13059" max="13059" width="14.140625" style="394" customWidth="1"/>
    <col min="13060" max="13060" width="6.140625" style="394" customWidth="1"/>
    <col min="13061" max="13061" width="12.28515625" style="394" customWidth="1"/>
    <col min="13062" max="13062" width="15.42578125" style="394" customWidth="1"/>
    <col min="13063" max="13063" width="10.140625" style="394" customWidth="1"/>
    <col min="13064" max="13064" width="2" style="394" bestFit="1" customWidth="1"/>
    <col min="13065" max="13065" width="39.42578125" style="394" customWidth="1"/>
    <col min="13066" max="13312" width="9" style="394"/>
    <col min="13313" max="13313" width="7.42578125" style="394" bestFit="1" customWidth="1"/>
    <col min="13314" max="13314" width="37.42578125" style="394" customWidth="1"/>
    <col min="13315" max="13315" width="14.140625" style="394" customWidth="1"/>
    <col min="13316" max="13316" width="6.140625" style="394" customWidth="1"/>
    <col min="13317" max="13317" width="12.28515625" style="394" customWidth="1"/>
    <col min="13318" max="13318" width="15.42578125" style="394" customWidth="1"/>
    <col min="13319" max="13319" width="10.140625" style="394" customWidth="1"/>
    <col min="13320" max="13320" width="2" style="394" bestFit="1" customWidth="1"/>
    <col min="13321" max="13321" width="39.42578125" style="394" customWidth="1"/>
    <col min="13322" max="13568" width="9" style="394"/>
    <col min="13569" max="13569" width="7.42578125" style="394" bestFit="1" customWidth="1"/>
    <col min="13570" max="13570" width="37.42578125" style="394" customWidth="1"/>
    <col min="13571" max="13571" width="14.140625" style="394" customWidth="1"/>
    <col min="13572" max="13572" width="6.140625" style="394" customWidth="1"/>
    <col min="13573" max="13573" width="12.28515625" style="394" customWidth="1"/>
    <col min="13574" max="13574" width="15.42578125" style="394" customWidth="1"/>
    <col min="13575" max="13575" width="10.140625" style="394" customWidth="1"/>
    <col min="13576" max="13576" width="2" style="394" bestFit="1" customWidth="1"/>
    <col min="13577" max="13577" width="39.42578125" style="394" customWidth="1"/>
    <col min="13578" max="13824" width="9" style="394"/>
    <col min="13825" max="13825" width="7.42578125" style="394" bestFit="1" customWidth="1"/>
    <col min="13826" max="13826" width="37.42578125" style="394" customWidth="1"/>
    <col min="13827" max="13827" width="14.140625" style="394" customWidth="1"/>
    <col min="13828" max="13828" width="6.140625" style="394" customWidth="1"/>
    <col min="13829" max="13829" width="12.28515625" style="394" customWidth="1"/>
    <col min="13830" max="13830" width="15.42578125" style="394" customWidth="1"/>
    <col min="13831" max="13831" width="10.140625" style="394" customWidth="1"/>
    <col min="13832" max="13832" width="2" style="394" bestFit="1" customWidth="1"/>
    <col min="13833" max="13833" width="39.42578125" style="394" customWidth="1"/>
    <col min="13834" max="14080" width="9" style="394"/>
    <col min="14081" max="14081" width="7.42578125" style="394" bestFit="1" customWidth="1"/>
    <col min="14082" max="14082" width="37.42578125" style="394" customWidth="1"/>
    <col min="14083" max="14083" width="14.140625" style="394" customWidth="1"/>
    <col min="14084" max="14084" width="6.140625" style="394" customWidth="1"/>
    <col min="14085" max="14085" width="12.28515625" style="394" customWidth="1"/>
    <col min="14086" max="14086" width="15.42578125" style="394" customWidth="1"/>
    <col min="14087" max="14087" width="10.140625" style="394" customWidth="1"/>
    <col min="14088" max="14088" width="2" style="394" bestFit="1" customWidth="1"/>
    <col min="14089" max="14089" width="39.42578125" style="394" customWidth="1"/>
    <col min="14090" max="14336" width="9" style="394"/>
    <col min="14337" max="14337" width="7.42578125" style="394" bestFit="1" customWidth="1"/>
    <col min="14338" max="14338" width="37.42578125" style="394" customWidth="1"/>
    <col min="14339" max="14339" width="14.140625" style="394" customWidth="1"/>
    <col min="14340" max="14340" width="6.140625" style="394" customWidth="1"/>
    <col min="14341" max="14341" width="12.28515625" style="394" customWidth="1"/>
    <col min="14342" max="14342" width="15.42578125" style="394" customWidth="1"/>
    <col min="14343" max="14343" width="10.140625" style="394" customWidth="1"/>
    <col min="14344" max="14344" width="2" style="394" bestFit="1" customWidth="1"/>
    <col min="14345" max="14345" width="39.42578125" style="394" customWidth="1"/>
    <col min="14346" max="14592" width="9" style="394"/>
    <col min="14593" max="14593" width="7.42578125" style="394" bestFit="1" customWidth="1"/>
    <col min="14594" max="14594" width="37.42578125" style="394" customWidth="1"/>
    <col min="14595" max="14595" width="14.140625" style="394" customWidth="1"/>
    <col min="14596" max="14596" width="6.140625" style="394" customWidth="1"/>
    <col min="14597" max="14597" width="12.28515625" style="394" customWidth="1"/>
    <col min="14598" max="14598" width="15.42578125" style="394" customWidth="1"/>
    <col min="14599" max="14599" width="10.140625" style="394" customWidth="1"/>
    <col min="14600" max="14600" width="2" style="394" bestFit="1" customWidth="1"/>
    <col min="14601" max="14601" width="39.42578125" style="394" customWidth="1"/>
    <col min="14602" max="14848" width="9" style="394"/>
    <col min="14849" max="14849" width="7.42578125" style="394" bestFit="1" customWidth="1"/>
    <col min="14850" max="14850" width="37.42578125" style="394" customWidth="1"/>
    <col min="14851" max="14851" width="14.140625" style="394" customWidth="1"/>
    <col min="14852" max="14852" width="6.140625" style="394" customWidth="1"/>
    <col min="14853" max="14853" width="12.28515625" style="394" customWidth="1"/>
    <col min="14854" max="14854" width="15.42578125" style="394" customWidth="1"/>
    <col min="14855" max="14855" width="10.140625" style="394" customWidth="1"/>
    <col min="14856" max="14856" width="2" style="394" bestFit="1" customWidth="1"/>
    <col min="14857" max="14857" width="39.42578125" style="394" customWidth="1"/>
    <col min="14858" max="15104" width="9" style="394"/>
    <col min="15105" max="15105" width="7.42578125" style="394" bestFit="1" customWidth="1"/>
    <col min="15106" max="15106" width="37.42578125" style="394" customWidth="1"/>
    <col min="15107" max="15107" width="14.140625" style="394" customWidth="1"/>
    <col min="15108" max="15108" width="6.140625" style="394" customWidth="1"/>
    <col min="15109" max="15109" width="12.28515625" style="394" customWidth="1"/>
    <col min="15110" max="15110" width="15.42578125" style="394" customWidth="1"/>
    <col min="15111" max="15111" width="10.140625" style="394" customWidth="1"/>
    <col min="15112" max="15112" width="2" style="394" bestFit="1" customWidth="1"/>
    <col min="15113" max="15113" width="39.42578125" style="394" customWidth="1"/>
    <col min="15114" max="15360" width="9" style="394"/>
    <col min="15361" max="15361" width="7.42578125" style="394" bestFit="1" customWidth="1"/>
    <col min="15362" max="15362" width="37.42578125" style="394" customWidth="1"/>
    <col min="15363" max="15363" width="14.140625" style="394" customWidth="1"/>
    <col min="15364" max="15364" width="6.140625" style="394" customWidth="1"/>
    <col min="15365" max="15365" width="12.28515625" style="394" customWidth="1"/>
    <col min="15366" max="15366" width="15.42578125" style="394" customWidth="1"/>
    <col min="15367" max="15367" width="10.140625" style="394" customWidth="1"/>
    <col min="15368" max="15368" width="2" style="394" bestFit="1" customWidth="1"/>
    <col min="15369" max="15369" width="39.42578125" style="394" customWidth="1"/>
    <col min="15370" max="15616" width="9" style="394"/>
    <col min="15617" max="15617" width="7.42578125" style="394" bestFit="1" customWidth="1"/>
    <col min="15618" max="15618" width="37.42578125" style="394" customWidth="1"/>
    <col min="15619" max="15619" width="14.140625" style="394" customWidth="1"/>
    <col min="15620" max="15620" width="6.140625" style="394" customWidth="1"/>
    <col min="15621" max="15621" width="12.28515625" style="394" customWidth="1"/>
    <col min="15622" max="15622" width="15.42578125" style="394" customWidth="1"/>
    <col min="15623" max="15623" width="10.140625" style="394" customWidth="1"/>
    <col min="15624" max="15624" width="2" style="394" bestFit="1" customWidth="1"/>
    <col min="15625" max="15625" width="39.42578125" style="394" customWidth="1"/>
    <col min="15626" max="15872" width="9" style="394"/>
    <col min="15873" max="15873" width="7.42578125" style="394" bestFit="1" customWidth="1"/>
    <col min="15874" max="15874" width="37.42578125" style="394" customWidth="1"/>
    <col min="15875" max="15875" width="14.140625" style="394" customWidth="1"/>
    <col min="15876" max="15876" width="6.140625" style="394" customWidth="1"/>
    <col min="15877" max="15877" width="12.28515625" style="394" customWidth="1"/>
    <col min="15878" max="15878" width="15.42578125" style="394" customWidth="1"/>
    <col min="15879" max="15879" width="10.140625" style="394" customWidth="1"/>
    <col min="15880" max="15880" width="2" style="394" bestFit="1" customWidth="1"/>
    <col min="15881" max="15881" width="39.42578125" style="394" customWidth="1"/>
    <col min="15882" max="16128" width="9" style="394"/>
    <col min="16129" max="16129" width="7.42578125" style="394" bestFit="1" customWidth="1"/>
    <col min="16130" max="16130" width="37.42578125" style="394" customWidth="1"/>
    <col min="16131" max="16131" width="14.140625" style="394" customWidth="1"/>
    <col min="16132" max="16132" width="6.140625" style="394" customWidth="1"/>
    <col min="16133" max="16133" width="12.28515625" style="394" customWidth="1"/>
    <col min="16134" max="16134" width="15.42578125" style="394" customWidth="1"/>
    <col min="16135" max="16135" width="10.140625" style="394" customWidth="1"/>
    <col min="16136" max="16136" width="2" style="394" bestFit="1" customWidth="1"/>
    <col min="16137" max="16137" width="39.42578125" style="394" customWidth="1"/>
    <col min="16138" max="16384" width="9" style="394"/>
  </cols>
  <sheetData>
    <row r="1" spans="1:8" s="342" customFormat="1" ht="25.5">
      <c r="A1" s="337"/>
      <c r="B1" s="338" t="s">
        <v>241</v>
      </c>
      <c r="C1" s="463" t="s">
        <v>242</v>
      </c>
      <c r="D1" s="340" t="s">
        <v>243</v>
      </c>
      <c r="E1" s="339" t="s">
        <v>244</v>
      </c>
      <c r="F1" s="341" t="s">
        <v>245</v>
      </c>
    </row>
    <row r="2" spans="1:8" s="346" customFormat="1">
      <c r="A2" s="343"/>
      <c r="B2" s="344"/>
      <c r="C2" s="454"/>
      <c r="E2" s="345"/>
      <c r="F2" s="347"/>
    </row>
    <row r="3" spans="1:8" s="350" customFormat="1">
      <c r="A3" s="348" t="s">
        <v>179</v>
      </c>
      <c r="B3" s="349" t="s">
        <v>178</v>
      </c>
      <c r="C3" s="464"/>
      <c r="F3" s="351"/>
    </row>
    <row r="4" spans="1:8" s="352" customFormat="1">
      <c r="A4" s="343"/>
      <c r="B4" s="349"/>
      <c r="C4" s="465"/>
      <c r="F4" s="353"/>
    </row>
    <row r="5" spans="1:8" s="352" customFormat="1">
      <c r="A5" s="354" t="s">
        <v>246</v>
      </c>
      <c r="B5" s="355" t="s">
        <v>247</v>
      </c>
      <c r="C5" s="465"/>
      <c r="F5" s="353"/>
    </row>
    <row r="6" spans="1:8" s="346" customFormat="1">
      <c r="A6" s="343"/>
      <c r="B6" s="344"/>
      <c r="C6" s="466"/>
      <c r="F6" s="347"/>
    </row>
    <row r="7" spans="1:8" s="346" customFormat="1" ht="25.5">
      <c r="A7" s="343" t="s">
        <v>248</v>
      </c>
      <c r="B7" s="344" t="s">
        <v>249</v>
      </c>
      <c r="C7" s="466"/>
      <c r="F7" s="347"/>
    </row>
    <row r="8" spans="1:8" s="346" customFormat="1">
      <c r="A8" s="343"/>
      <c r="B8" s="344"/>
      <c r="C8" s="454">
        <f>K85+K87</f>
        <v>191.98</v>
      </c>
      <c r="D8" s="346" t="s">
        <v>115</v>
      </c>
      <c r="E8" s="356"/>
      <c r="F8" s="357">
        <f>C8*E8</f>
        <v>0</v>
      </c>
      <c r="G8" s="345"/>
      <c r="H8" s="345"/>
    </row>
    <row r="9" spans="1:8" s="346" customFormat="1">
      <c r="A9" s="343"/>
      <c r="B9" s="344"/>
      <c r="C9" s="456"/>
      <c r="E9" s="356"/>
      <c r="F9" s="357"/>
      <c r="G9" s="345"/>
      <c r="H9" s="345"/>
    </row>
    <row r="10" spans="1:8" s="352" customFormat="1">
      <c r="A10" s="354" t="s">
        <v>246</v>
      </c>
      <c r="B10" s="355" t="s">
        <v>250</v>
      </c>
      <c r="C10" s="455"/>
      <c r="E10" s="360"/>
      <c r="F10" s="361">
        <f>SUM(F7:F9)</f>
        <v>0</v>
      </c>
      <c r="G10" s="345"/>
    </row>
    <row r="11" spans="1:8" s="352" customFormat="1">
      <c r="A11" s="354"/>
      <c r="B11" s="355"/>
      <c r="C11" s="455"/>
      <c r="E11" s="360"/>
      <c r="F11" s="361"/>
      <c r="G11" s="345"/>
    </row>
    <row r="12" spans="1:8" s="352" customFormat="1">
      <c r="A12" s="354"/>
      <c r="B12" s="355"/>
      <c r="C12" s="455"/>
      <c r="E12" s="360"/>
      <c r="F12" s="361"/>
      <c r="G12" s="345"/>
    </row>
    <row r="13" spans="1:8" s="352" customFormat="1" ht="25.5">
      <c r="A13" s="354" t="s">
        <v>251</v>
      </c>
      <c r="B13" s="355" t="s">
        <v>814</v>
      </c>
      <c r="C13" s="455"/>
      <c r="E13" s="360"/>
      <c r="F13" s="361"/>
      <c r="G13" s="345"/>
    </row>
    <row r="14" spans="1:8" s="352" customFormat="1">
      <c r="A14" s="354"/>
      <c r="B14" s="355"/>
      <c r="C14" s="455"/>
      <c r="E14" s="360"/>
      <c r="F14" s="361"/>
      <c r="G14" s="345"/>
    </row>
    <row r="15" spans="1:8" s="346" customFormat="1">
      <c r="A15" s="364"/>
      <c r="B15" s="344"/>
      <c r="C15" s="456"/>
      <c r="E15" s="356"/>
      <c r="F15" s="357"/>
      <c r="G15" s="345"/>
      <c r="H15" s="345"/>
    </row>
    <row r="16" spans="1:8" s="346" customFormat="1">
      <c r="A16" s="364"/>
      <c r="B16" s="344"/>
      <c r="C16" s="454"/>
      <c r="E16" s="356"/>
      <c r="F16" s="357"/>
      <c r="G16" s="345"/>
      <c r="H16" s="345"/>
    </row>
    <row r="17" spans="1:256" s="346" customFormat="1">
      <c r="A17" s="364"/>
      <c r="B17" s="344"/>
      <c r="C17" s="454"/>
      <c r="E17" s="356"/>
      <c r="F17" s="357"/>
      <c r="G17" s="345"/>
      <c r="H17" s="345"/>
    </row>
    <row r="18" spans="1:256" s="346" customFormat="1" ht="38.25">
      <c r="A18" s="364" t="s">
        <v>253</v>
      </c>
      <c r="B18" s="344" t="s">
        <v>254</v>
      </c>
      <c r="C18" s="454"/>
      <c r="E18" s="356"/>
      <c r="F18" s="357"/>
      <c r="G18" s="345"/>
      <c r="H18" s="345"/>
    </row>
    <row r="19" spans="1:256" s="346" customFormat="1">
      <c r="A19" s="364"/>
      <c r="B19" s="344"/>
      <c r="C19" s="454">
        <f>ROUND(C8/20,0)</f>
        <v>10</v>
      </c>
      <c r="D19" s="346" t="s">
        <v>5</v>
      </c>
      <c r="E19" s="356"/>
      <c r="F19" s="357">
        <f>C19*E19</f>
        <v>0</v>
      </c>
      <c r="G19" s="345"/>
      <c r="H19" s="345"/>
    </row>
    <row r="20" spans="1:256" s="352" customFormat="1">
      <c r="A20" s="354" t="s">
        <v>816</v>
      </c>
      <c r="B20" s="355" t="s">
        <v>256</v>
      </c>
      <c r="C20" s="455"/>
      <c r="E20" s="360"/>
      <c r="F20" s="361">
        <f>SUM(F15:F19)</f>
        <v>0</v>
      </c>
      <c r="G20" s="345"/>
    </row>
    <row r="21" spans="1:256" s="374" customFormat="1">
      <c r="A21" s="367"/>
      <c r="B21" s="368"/>
      <c r="C21" s="467"/>
      <c r="D21" s="370"/>
      <c r="E21" s="371"/>
      <c r="F21" s="372"/>
      <c r="G21" s="345"/>
      <c r="H21" s="373"/>
    </row>
    <row r="22" spans="1:256" s="350" customFormat="1">
      <c r="A22" s="348" t="s">
        <v>179</v>
      </c>
      <c r="B22" s="349" t="s">
        <v>257</v>
      </c>
      <c r="C22" s="468"/>
      <c r="E22" s="376"/>
      <c r="F22" s="377">
        <f>F20+F10</f>
        <v>0</v>
      </c>
      <c r="G22" s="345"/>
    </row>
    <row r="23" spans="1:256" s="346" customFormat="1">
      <c r="A23" s="343"/>
      <c r="B23" s="378"/>
      <c r="C23" s="456"/>
      <c r="D23" s="379"/>
      <c r="E23" s="356"/>
      <c r="F23" s="380"/>
      <c r="G23" s="345"/>
      <c r="H23" s="345"/>
    </row>
    <row r="24" spans="1:256" s="350" customFormat="1">
      <c r="A24" s="348" t="s">
        <v>177</v>
      </c>
      <c r="B24" s="349" t="s">
        <v>176</v>
      </c>
      <c r="C24" s="468"/>
      <c r="E24" s="376"/>
      <c r="F24" s="377"/>
      <c r="G24" s="381"/>
    </row>
    <row r="25" spans="1:256" s="389" customFormat="1" ht="11.25">
      <c r="A25" s="382"/>
      <c r="B25" s="383"/>
      <c r="C25" s="469"/>
      <c r="D25" s="385"/>
      <c r="E25" s="386"/>
      <c r="F25" s="387"/>
      <c r="G25" s="381"/>
      <c r="H25" s="388"/>
    </row>
    <row r="26" spans="1:256" s="390" customFormat="1">
      <c r="A26" s="354" t="s">
        <v>258</v>
      </c>
      <c r="B26" s="355" t="s">
        <v>470</v>
      </c>
      <c r="C26" s="455"/>
      <c r="D26" s="352"/>
      <c r="E26" s="360"/>
      <c r="F26" s="361"/>
      <c r="G26" s="381"/>
      <c r="IV26" s="391"/>
    </row>
    <row r="27" spans="1:256" s="390" customFormat="1">
      <c r="A27" s="354"/>
      <c r="B27" s="355"/>
      <c r="C27" s="455"/>
      <c r="D27" s="352"/>
      <c r="E27" s="360"/>
      <c r="F27" s="361"/>
      <c r="G27" s="381"/>
      <c r="J27" s="390" t="s">
        <v>221</v>
      </c>
      <c r="K27" s="390" t="s">
        <v>222</v>
      </c>
      <c r="L27" s="390" t="s">
        <v>223</v>
      </c>
      <c r="M27" s="390" t="s">
        <v>224</v>
      </c>
      <c r="N27" s="390" t="s">
        <v>225</v>
      </c>
      <c r="O27" s="390" t="s">
        <v>226</v>
      </c>
      <c r="P27" s="390" t="s">
        <v>227</v>
      </c>
      <c r="Q27" s="390" t="s">
        <v>228</v>
      </c>
      <c r="R27" s="390" t="s">
        <v>229</v>
      </c>
      <c r="S27" s="390" t="s">
        <v>230</v>
      </c>
      <c r="T27" s="390" t="s">
        <v>231</v>
      </c>
      <c r="U27" s="390" t="s">
        <v>232</v>
      </c>
      <c r="V27" s="390" t="s">
        <v>233</v>
      </c>
      <c r="W27" s="390" t="s">
        <v>234</v>
      </c>
      <c r="X27" s="390" t="s">
        <v>235</v>
      </c>
      <c r="Y27" s="390" t="s">
        <v>236</v>
      </c>
      <c r="Z27" s="390" t="s">
        <v>237</v>
      </c>
      <c r="IV27" s="391"/>
    </row>
    <row r="28" spans="1:256" s="390" customFormat="1" ht="38.25">
      <c r="A28" s="392"/>
      <c r="B28" s="393" t="s">
        <v>260</v>
      </c>
      <c r="C28" s="456"/>
      <c r="D28" s="346"/>
      <c r="E28" s="356"/>
      <c r="F28" s="357"/>
      <c r="G28" s="381"/>
      <c r="J28" s="390" t="s">
        <v>314</v>
      </c>
      <c r="K28" s="430"/>
      <c r="L28" s="430">
        <v>0</v>
      </c>
      <c r="M28" s="430">
        <v>0</v>
      </c>
      <c r="N28" s="430">
        <v>0</v>
      </c>
      <c r="O28" s="430">
        <v>260.8</v>
      </c>
      <c r="P28" s="430">
        <v>244.78</v>
      </c>
      <c r="Q28" s="430">
        <v>16.02</v>
      </c>
      <c r="R28" s="430">
        <v>0</v>
      </c>
      <c r="S28" s="430">
        <v>0</v>
      </c>
      <c r="T28" s="430">
        <v>0</v>
      </c>
      <c r="U28" s="430">
        <v>260.14999999999998</v>
      </c>
      <c r="V28" s="430">
        <v>220.73</v>
      </c>
      <c r="W28" s="430">
        <v>0</v>
      </c>
      <c r="X28" s="430">
        <v>31.94</v>
      </c>
      <c r="Y28" s="430">
        <v>7.48</v>
      </c>
      <c r="Z28" s="430">
        <v>220.73</v>
      </c>
      <c r="IV28" s="391"/>
    </row>
    <row r="29" spans="1:256" s="390" customFormat="1">
      <c r="A29" s="364"/>
      <c r="B29" s="393" t="s">
        <v>261</v>
      </c>
      <c r="C29" s="454">
        <f>C8*1</f>
        <v>191.98</v>
      </c>
      <c r="D29" s="346"/>
      <c r="E29" s="356"/>
      <c r="F29" s="357"/>
      <c r="G29" s="381"/>
      <c r="J29" s="390" t="s">
        <v>305</v>
      </c>
      <c r="K29" s="430"/>
      <c r="L29" s="430">
        <v>0</v>
      </c>
      <c r="M29" s="430">
        <v>0</v>
      </c>
      <c r="N29" s="430">
        <v>0</v>
      </c>
      <c r="O29" s="430">
        <v>235.53</v>
      </c>
      <c r="P29" s="430">
        <v>219.5</v>
      </c>
      <c r="Q29" s="430">
        <v>16.02</v>
      </c>
      <c r="R29" s="430">
        <v>0</v>
      </c>
      <c r="S29" s="430">
        <v>0</v>
      </c>
      <c r="T29" s="430">
        <v>0</v>
      </c>
      <c r="U29" s="430">
        <v>234.89</v>
      </c>
      <c r="V29" s="430">
        <v>202.54</v>
      </c>
      <c r="W29" s="430">
        <v>0</v>
      </c>
      <c r="X29" s="430">
        <v>26.25</v>
      </c>
      <c r="Y29" s="430">
        <v>6.1</v>
      </c>
      <c r="Z29" s="430">
        <v>202.54</v>
      </c>
      <c r="IV29" s="391"/>
    </row>
    <row r="30" spans="1:256" s="390" customFormat="1">
      <c r="A30" s="364" t="s">
        <v>262</v>
      </c>
      <c r="B30" s="393" t="s">
        <v>263</v>
      </c>
      <c r="C30" s="454">
        <f>C29*0.8</f>
        <v>153.584</v>
      </c>
      <c r="D30" s="394" t="s">
        <v>108</v>
      </c>
      <c r="E30" s="356"/>
      <c r="F30" s="357">
        <f>C30*E30</f>
        <v>0</v>
      </c>
      <c r="G30" s="381"/>
      <c r="J30" s="390" t="s">
        <v>307</v>
      </c>
      <c r="K30" s="430"/>
      <c r="L30" s="430">
        <v>0</v>
      </c>
      <c r="M30" s="430">
        <v>0</v>
      </c>
      <c r="N30" s="430">
        <v>0</v>
      </c>
      <c r="O30" s="430">
        <v>0</v>
      </c>
      <c r="P30" s="430">
        <v>0</v>
      </c>
      <c r="Q30" s="430">
        <v>0</v>
      </c>
      <c r="R30" s="430">
        <v>0</v>
      </c>
      <c r="S30" s="430">
        <v>0</v>
      </c>
      <c r="T30" s="430">
        <v>0</v>
      </c>
      <c r="U30" s="430">
        <v>0</v>
      </c>
      <c r="V30" s="430">
        <v>0</v>
      </c>
      <c r="W30" s="430">
        <v>0</v>
      </c>
      <c r="X30" s="430">
        <v>0</v>
      </c>
      <c r="Y30" s="430">
        <v>0</v>
      </c>
      <c r="Z30" s="430">
        <v>0</v>
      </c>
      <c r="IV30" s="391"/>
    </row>
    <row r="31" spans="1:256" s="390" customFormat="1">
      <c r="A31" s="364" t="s">
        <v>264</v>
      </c>
      <c r="B31" s="393" t="s">
        <v>265</v>
      </c>
      <c r="C31" s="454">
        <f>C29*0.2</f>
        <v>38.396000000000001</v>
      </c>
      <c r="D31" s="394" t="s">
        <v>108</v>
      </c>
      <c r="E31" s="356"/>
      <c r="F31" s="357">
        <f>C31*E31</f>
        <v>0</v>
      </c>
      <c r="G31" s="381"/>
      <c r="J31" s="390" t="s">
        <v>309</v>
      </c>
      <c r="K31" s="430"/>
      <c r="L31" s="430">
        <v>0</v>
      </c>
      <c r="M31" s="430">
        <v>0</v>
      </c>
      <c r="N31" s="430">
        <v>0</v>
      </c>
      <c r="O31" s="430">
        <v>6.84</v>
      </c>
      <c r="P31" s="430">
        <v>6.84</v>
      </c>
      <c r="Q31" s="430">
        <v>0</v>
      </c>
      <c r="R31" s="430">
        <v>0</v>
      </c>
      <c r="S31" s="430">
        <v>0</v>
      </c>
      <c r="T31" s="430">
        <v>0</v>
      </c>
      <c r="U31" s="430">
        <v>6.83</v>
      </c>
      <c r="V31" s="430">
        <v>4.8899999999999997</v>
      </c>
      <c r="W31" s="430">
        <v>0</v>
      </c>
      <c r="X31" s="430">
        <v>1.57</v>
      </c>
      <c r="Y31" s="430">
        <v>0.38</v>
      </c>
      <c r="Z31" s="430">
        <v>4.8899999999999997</v>
      </c>
      <c r="IV31" s="391"/>
    </row>
    <row r="32" spans="1:256" s="390" customFormat="1">
      <c r="A32" s="364"/>
      <c r="B32" s="393"/>
      <c r="C32" s="454"/>
      <c r="D32" s="394"/>
      <c r="E32" s="356"/>
      <c r="F32" s="357"/>
      <c r="G32" s="381"/>
      <c r="J32" s="390" t="s">
        <v>310</v>
      </c>
      <c r="K32" s="430"/>
      <c r="L32" s="430">
        <v>0</v>
      </c>
      <c r="M32" s="430">
        <v>0</v>
      </c>
      <c r="N32" s="430">
        <v>0</v>
      </c>
      <c r="O32" s="430">
        <v>4.7</v>
      </c>
      <c r="P32" s="430">
        <v>4.7</v>
      </c>
      <c r="Q32" s="430">
        <v>0</v>
      </c>
      <c r="R32" s="430">
        <v>0</v>
      </c>
      <c r="S32" s="430">
        <v>0</v>
      </c>
      <c r="T32" s="430">
        <v>0</v>
      </c>
      <c r="U32" s="430">
        <v>4.7</v>
      </c>
      <c r="V32" s="430">
        <v>2.95</v>
      </c>
      <c r="W32" s="430">
        <v>0</v>
      </c>
      <c r="X32" s="430">
        <v>1.4</v>
      </c>
      <c r="Y32" s="430">
        <v>0.34</v>
      </c>
      <c r="Z32" s="430">
        <v>2.95</v>
      </c>
      <c r="IV32" s="391"/>
    </row>
    <row r="33" spans="1:256" s="390" customFormat="1">
      <c r="A33" s="364"/>
      <c r="B33" s="393"/>
      <c r="C33" s="454"/>
      <c r="D33" s="394"/>
      <c r="E33" s="356"/>
      <c r="F33" s="357"/>
      <c r="G33" s="381"/>
      <c r="J33" s="390" t="s">
        <v>311</v>
      </c>
      <c r="K33" s="430"/>
      <c r="L33" s="430">
        <v>0</v>
      </c>
      <c r="M33" s="430">
        <v>0</v>
      </c>
      <c r="N33" s="430">
        <v>0</v>
      </c>
      <c r="O33" s="430">
        <v>7.62</v>
      </c>
      <c r="P33" s="430">
        <v>7.62</v>
      </c>
      <c r="Q33" s="430">
        <v>0</v>
      </c>
      <c r="R33" s="430">
        <v>0</v>
      </c>
      <c r="S33" s="430">
        <v>0</v>
      </c>
      <c r="T33" s="430">
        <v>0</v>
      </c>
      <c r="U33" s="430">
        <v>7.62</v>
      </c>
      <c r="V33" s="430">
        <v>5.66</v>
      </c>
      <c r="W33" s="430">
        <v>0</v>
      </c>
      <c r="X33" s="430">
        <v>1.58</v>
      </c>
      <c r="Y33" s="430">
        <v>0.38</v>
      </c>
      <c r="Z33" s="430">
        <v>5.66</v>
      </c>
      <c r="IV33" s="391"/>
    </row>
    <row r="34" spans="1:256" s="390" customFormat="1">
      <c r="A34" s="392"/>
      <c r="B34" s="393"/>
      <c r="C34" s="456"/>
      <c r="D34" s="346"/>
      <c r="E34" s="356"/>
      <c r="F34" s="357"/>
      <c r="G34" s="381"/>
      <c r="J34" s="390" t="s">
        <v>312</v>
      </c>
      <c r="K34" s="430"/>
      <c r="L34" s="430">
        <v>0</v>
      </c>
      <c r="M34" s="430">
        <v>0</v>
      </c>
      <c r="N34" s="430">
        <v>0</v>
      </c>
      <c r="O34" s="430">
        <v>6.12</v>
      </c>
      <c r="P34" s="430">
        <v>6.12</v>
      </c>
      <c r="Q34" s="430">
        <v>0</v>
      </c>
      <c r="R34" s="430">
        <v>0</v>
      </c>
      <c r="S34" s="430">
        <v>0</v>
      </c>
      <c r="T34" s="430">
        <v>0</v>
      </c>
      <c r="U34" s="430">
        <v>6.12</v>
      </c>
      <c r="V34" s="430">
        <v>4.7</v>
      </c>
      <c r="W34" s="430">
        <v>0</v>
      </c>
      <c r="X34" s="430">
        <v>1.1399999999999999</v>
      </c>
      <c r="Y34" s="430">
        <v>0.28000000000000003</v>
      </c>
      <c r="Z34" s="430">
        <v>4.7</v>
      </c>
      <c r="IV34" s="391"/>
    </row>
    <row r="35" spans="1:256" s="390" customFormat="1">
      <c r="A35" s="364"/>
      <c r="B35" s="393"/>
      <c r="C35" s="454"/>
      <c r="D35" s="346"/>
      <c r="E35" s="356"/>
      <c r="F35" s="357"/>
      <c r="G35" s="381"/>
      <c r="J35" s="390" t="s">
        <v>313</v>
      </c>
      <c r="K35" s="430"/>
      <c r="L35" s="430">
        <v>0</v>
      </c>
      <c r="M35" s="430">
        <v>0</v>
      </c>
      <c r="N35" s="430">
        <v>0</v>
      </c>
      <c r="O35" s="430">
        <v>0</v>
      </c>
      <c r="P35" s="430">
        <v>0</v>
      </c>
      <c r="Q35" s="430">
        <v>0</v>
      </c>
      <c r="R35" s="430">
        <v>0</v>
      </c>
      <c r="S35" s="430">
        <v>0</v>
      </c>
      <c r="T35" s="430">
        <v>0</v>
      </c>
      <c r="U35" s="430">
        <v>0</v>
      </c>
      <c r="V35" s="430">
        <v>0</v>
      </c>
      <c r="W35" s="430">
        <v>0</v>
      </c>
      <c r="X35" s="430">
        <v>0</v>
      </c>
      <c r="Y35" s="430">
        <v>0</v>
      </c>
      <c r="Z35" s="430">
        <v>0</v>
      </c>
      <c r="IV35" s="391"/>
    </row>
    <row r="36" spans="1:256" s="390" customFormat="1">
      <c r="A36" s="364"/>
      <c r="B36" s="393"/>
      <c r="C36" s="454"/>
      <c r="D36" s="394"/>
      <c r="E36" s="356"/>
      <c r="F36" s="357"/>
      <c r="G36" s="381"/>
      <c r="L36" s="390">
        <f>SUM(L28:L35)</f>
        <v>0</v>
      </c>
      <c r="M36" s="390">
        <f t="shared" ref="M36:Z36" si="0">SUM(M28:M35)</f>
        <v>0</v>
      </c>
      <c r="N36" s="390">
        <f t="shared" si="0"/>
        <v>0</v>
      </c>
      <c r="O36" s="390">
        <f t="shared" si="0"/>
        <v>521.61</v>
      </c>
      <c r="P36" s="390">
        <f t="shared" si="0"/>
        <v>489.55999999999995</v>
      </c>
      <c r="Q36" s="390">
        <f t="shared" si="0"/>
        <v>32.04</v>
      </c>
      <c r="R36" s="390">
        <f t="shared" si="0"/>
        <v>0</v>
      </c>
      <c r="S36" s="390">
        <f t="shared" si="0"/>
        <v>0</v>
      </c>
      <c r="T36" s="390">
        <f t="shared" si="0"/>
        <v>0</v>
      </c>
      <c r="U36" s="390">
        <f t="shared" si="0"/>
        <v>520.30999999999995</v>
      </c>
      <c r="V36" s="390">
        <f t="shared" si="0"/>
        <v>441.46999999999997</v>
      </c>
      <c r="W36" s="390">
        <f t="shared" si="0"/>
        <v>0</v>
      </c>
      <c r="X36" s="390">
        <f t="shared" si="0"/>
        <v>63.879999999999995</v>
      </c>
      <c r="Y36" s="390">
        <f t="shared" si="0"/>
        <v>14.96</v>
      </c>
      <c r="Z36" s="390">
        <f t="shared" si="0"/>
        <v>441.46999999999997</v>
      </c>
      <c r="IV36" s="391"/>
    </row>
    <row r="37" spans="1:256" s="389" customFormat="1">
      <c r="A37" s="354" t="s">
        <v>258</v>
      </c>
      <c r="B37" s="355" t="s">
        <v>266</v>
      </c>
      <c r="C37" s="455"/>
      <c r="D37" s="352"/>
      <c r="E37" s="360"/>
      <c r="F37" s="361">
        <f>SUM(F27:F36)</f>
        <v>0</v>
      </c>
      <c r="G37" s="381"/>
      <c r="H37" s="390"/>
    </row>
    <row r="38" spans="1:256" s="389" customFormat="1">
      <c r="A38" s="395"/>
      <c r="B38" s="396"/>
      <c r="C38" s="457"/>
      <c r="D38" s="394"/>
      <c r="E38" s="398"/>
      <c r="F38" s="399"/>
      <c r="G38" s="381"/>
      <c r="H38" s="388"/>
    </row>
    <row r="39" spans="1:256" s="390" customFormat="1">
      <c r="A39" s="354" t="s">
        <v>267</v>
      </c>
      <c r="B39" s="355" t="s">
        <v>268</v>
      </c>
      <c r="C39" s="455"/>
      <c r="D39" s="352"/>
      <c r="E39" s="360"/>
      <c r="F39" s="361"/>
      <c r="G39" s="381"/>
      <c r="IV39" s="391"/>
    </row>
    <row r="40" spans="1:256" s="390" customFormat="1">
      <c r="A40" s="354"/>
      <c r="B40" s="355"/>
      <c r="C40" s="455"/>
      <c r="D40" s="352"/>
      <c r="E40" s="360"/>
      <c r="F40" s="361"/>
      <c r="G40" s="381"/>
      <c r="I40" s="390" t="s">
        <v>221</v>
      </c>
      <c r="J40" s="390" t="s">
        <v>222</v>
      </c>
      <c r="K40" s="390" t="s">
        <v>223</v>
      </c>
      <c r="L40" s="390" t="s">
        <v>224</v>
      </c>
      <c r="M40" s="390" t="s">
        <v>225</v>
      </c>
      <c r="N40" s="390" t="s">
        <v>226</v>
      </c>
      <c r="O40" s="390" t="s">
        <v>227</v>
      </c>
      <c r="P40" s="390" t="s">
        <v>228</v>
      </c>
      <c r="Q40" s="390" t="s">
        <v>229</v>
      </c>
      <c r="R40" s="390" t="s">
        <v>230</v>
      </c>
      <c r="S40" s="390" t="s">
        <v>231</v>
      </c>
      <c r="T40" s="390" t="s">
        <v>232</v>
      </c>
      <c r="U40" s="390" t="s">
        <v>233</v>
      </c>
      <c r="V40" s="390" t="s">
        <v>234</v>
      </c>
      <c r="W40" s="390" t="s">
        <v>235</v>
      </c>
      <c r="X40" s="390" t="s">
        <v>236</v>
      </c>
      <c r="Y40" s="390" t="s">
        <v>237</v>
      </c>
      <c r="IV40" s="391"/>
    </row>
    <row r="41" spans="1:256" s="390" customFormat="1">
      <c r="A41" s="364"/>
      <c r="B41" s="393"/>
      <c r="C41" s="456"/>
      <c r="D41" s="346"/>
      <c r="E41" s="400"/>
      <c r="F41" s="401"/>
      <c r="G41" s="381"/>
      <c r="I41" s="390" t="s">
        <v>486</v>
      </c>
      <c r="K41" s="390">
        <v>0</v>
      </c>
      <c r="L41" s="390">
        <v>192.35</v>
      </c>
      <c r="M41" s="390">
        <v>0</v>
      </c>
      <c r="N41" s="390">
        <v>301391.38</v>
      </c>
      <c r="O41" s="390">
        <v>7050.89</v>
      </c>
      <c r="P41" s="390">
        <v>6823.03</v>
      </c>
      <c r="Q41" s="390">
        <v>6713.01</v>
      </c>
      <c r="R41" s="390">
        <v>6603</v>
      </c>
      <c r="S41" s="390">
        <v>274201.46000000002</v>
      </c>
      <c r="T41" s="390">
        <v>301389.71999999997</v>
      </c>
      <c r="U41" s="390">
        <v>300541.08</v>
      </c>
      <c r="V41" s="390">
        <v>763.87</v>
      </c>
      <c r="W41" s="390">
        <v>68.790000000000006</v>
      </c>
      <c r="X41" s="390">
        <v>15.98</v>
      </c>
      <c r="Y41" s="390">
        <v>300541.08</v>
      </c>
      <c r="IV41" s="391"/>
    </row>
    <row r="42" spans="1:256" s="390" customFormat="1" ht="63.75">
      <c r="A42" s="364" t="s">
        <v>270</v>
      </c>
      <c r="B42" s="393" t="s">
        <v>271</v>
      </c>
      <c r="C42" s="454"/>
      <c r="D42" s="346"/>
      <c r="E42" s="400"/>
      <c r="F42" s="401"/>
      <c r="G42" s="381"/>
      <c r="IV42" s="391"/>
    </row>
    <row r="43" spans="1:256" s="390" customFormat="1">
      <c r="A43" s="402"/>
      <c r="B43" s="393"/>
      <c r="C43" s="454">
        <f>X41</f>
        <v>15.98</v>
      </c>
      <c r="D43" s="346" t="s">
        <v>108</v>
      </c>
      <c r="E43" s="356"/>
      <c r="F43" s="357">
        <f>C43*E43</f>
        <v>0</v>
      </c>
      <c r="G43" s="381"/>
      <c r="IV43" s="391"/>
    </row>
    <row r="44" spans="1:256" s="390" customFormat="1">
      <c r="A44" s="402"/>
      <c r="B44" s="393"/>
      <c r="C44" s="456"/>
      <c r="D44" s="346"/>
      <c r="E44" s="356"/>
      <c r="F44" s="357"/>
      <c r="G44" s="381"/>
      <c r="IV44" s="391"/>
    </row>
    <row r="45" spans="1:256" s="390" customFormat="1" ht="89.25">
      <c r="A45" s="364" t="s">
        <v>272</v>
      </c>
      <c r="B45" s="393" t="s">
        <v>273</v>
      </c>
      <c r="C45" s="456"/>
      <c r="D45" s="346"/>
      <c r="E45" s="400"/>
      <c r="F45" s="401"/>
      <c r="G45" s="381"/>
      <c r="IV45" s="391"/>
    </row>
    <row r="46" spans="1:256" s="390" customFormat="1">
      <c r="A46" s="402"/>
      <c r="B46" s="393"/>
      <c r="C46" s="454">
        <f>W41</f>
        <v>68.790000000000006</v>
      </c>
      <c r="D46" s="346" t="s">
        <v>108</v>
      </c>
      <c r="E46" s="356"/>
      <c r="F46" s="357">
        <f>C46*E46</f>
        <v>0</v>
      </c>
      <c r="G46" s="381"/>
      <c r="IV46" s="391"/>
    </row>
    <row r="47" spans="1:256" s="390" customFormat="1">
      <c r="A47" s="402"/>
      <c r="B47" s="393"/>
      <c r="C47" s="454"/>
      <c r="D47" s="346"/>
      <c r="E47" s="356"/>
      <c r="F47" s="357"/>
      <c r="G47" s="381"/>
      <c r="IV47" s="391"/>
    </row>
    <row r="48" spans="1:256" s="390" customFormat="1" ht="76.5">
      <c r="A48" s="364" t="s">
        <v>274</v>
      </c>
      <c r="B48" s="393" t="s">
        <v>275</v>
      </c>
      <c r="C48" s="454"/>
      <c r="D48" s="346"/>
      <c r="E48" s="400"/>
      <c r="F48" s="401"/>
      <c r="G48" s="381"/>
      <c r="IV48" s="391"/>
    </row>
    <row r="49" spans="1:256" s="390" customFormat="1">
      <c r="A49" s="402"/>
      <c r="B49" s="393"/>
      <c r="C49" s="454">
        <f>C29-C43-C46</f>
        <v>107.21</v>
      </c>
      <c r="D49" s="346" t="s">
        <v>108</v>
      </c>
      <c r="E49" s="356"/>
      <c r="F49" s="357">
        <f>C49*E49</f>
        <v>0</v>
      </c>
      <c r="G49" s="381"/>
      <c r="IV49" s="391"/>
    </row>
    <row r="50" spans="1:256" s="390" customFormat="1">
      <c r="A50" s="364"/>
      <c r="B50" s="362"/>
      <c r="C50" s="454"/>
      <c r="D50" s="346"/>
      <c r="E50" s="365"/>
      <c r="F50" s="366"/>
      <c r="G50" s="381"/>
      <c r="IV50" s="391"/>
    </row>
    <row r="51" spans="1:256" s="389" customFormat="1" ht="51">
      <c r="A51" s="364" t="s">
        <v>276</v>
      </c>
      <c r="B51" s="393" t="s">
        <v>279</v>
      </c>
      <c r="C51" s="454"/>
      <c r="D51" s="346"/>
      <c r="E51" s="400"/>
      <c r="F51" s="401"/>
      <c r="G51" s="381"/>
      <c r="H51" s="381"/>
    </row>
    <row r="52" spans="1:256" s="389" customFormat="1">
      <c r="A52" s="402"/>
      <c r="B52" s="393"/>
      <c r="C52" s="454">
        <f>(C29+C35-C49)*1.4</f>
        <v>118.67799999999998</v>
      </c>
      <c r="D52" s="346" t="s">
        <v>108</v>
      </c>
      <c r="E52" s="356"/>
      <c r="F52" s="357">
        <f>C52*E52</f>
        <v>0</v>
      </c>
      <c r="G52" s="381"/>
      <c r="H52" s="381"/>
    </row>
    <row r="53" spans="1:256" s="389" customFormat="1">
      <c r="A53" s="402"/>
      <c r="B53" s="393"/>
      <c r="C53" s="454"/>
      <c r="D53" s="346"/>
      <c r="E53" s="356"/>
      <c r="F53" s="357"/>
      <c r="G53" s="381"/>
      <c r="H53" s="388"/>
    </row>
    <row r="54" spans="1:256" s="389" customFormat="1">
      <c r="A54" s="364" t="s">
        <v>278</v>
      </c>
      <c r="B54" s="393" t="s">
        <v>281</v>
      </c>
      <c r="C54" s="454"/>
      <c r="D54" s="346"/>
      <c r="E54" s="400"/>
      <c r="F54" s="401"/>
      <c r="G54" s="381"/>
      <c r="H54" s="388"/>
    </row>
    <row r="55" spans="1:256" s="389" customFormat="1">
      <c r="A55" s="402"/>
      <c r="B55" s="393"/>
      <c r="C55" s="454">
        <v>5</v>
      </c>
      <c r="D55" s="346" t="s">
        <v>71</v>
      </c>
      <c r="E55" s="356"/>
      <c r="F55" s="357">
        <f>C55*E55</f>
        <v>0</v>
      </c>
      <c r="G55" s="381"/>
      <c r="H55" s="388"/>
    </row>
    <row r="56" spans="1:256" s="389" customFormat="1">
      <c r="A56" s="402"/>
      <c r="B56" s="393"/>
      <c r="C56" s="456"/>
      <c r="D56" s="346"/>
      <c r="E56" s="356"/>
      <c r="F56" s="357"/>
      <c r="G56" s="381"/>
      <c r="H56" s="388"/>
    </row>
    <row r="57" spans="1:256" s="389" customFormat="1">
      <c r="A57" s="354" t="s">
        <v>267</v>
      </c>
      <c r="B57" s="355" t="s">
        <v>282</v>
      </c>
      <c r="C57" s="455"/>
      <c r="D57" s="352"/>
      <c r="E57" s="360"/>
      <c r="F57" s="361">
        <f>SUM(F41:F55)</f>
        <v>0</v>
      </c>
      <c r="G57" s="381"/>
      <c r="H57" s="390"/>
    </row>
    <row r="58" spans="1:256" s="389" customFormat="1">
      <c r="A58" s="354"/>
      <c r="B58" s="355"/>
      <c r="C58" s="455"/>
      <c r="D58" s="352"/>
      <c r="E58" s="360"/>
      <c r="F58" s="361"/>
      <c r="G58" s="381"/>
      <c r="H58" s="390"/>
    </row>
    <row r="59" spans="1:256" s="389" customFormat="1" ht="38.25">
      <c r="A59" s="364" t="s">
        <v>280</v>
      </c>
      <c r="B59" s="393" t="s">
        <v>284</v>
      </c>
      <c r="C59" s="456"/>
      <c r="D59" s="394"/>
      <c r="E59" s="356"/>
      <c r="F59" s="357"/>
      <c r="G59" s="381"/>
      <c r="H59" s="388"/>
    </row>
    <row r="60" spans="1:256" s="389" customFormat="1">
      <c r="A60" s="395"/>
      <c r="B60" s="396"/>
      <c r="C60" s="470"/>
      <c r="D60" s="394"/>
      <c r="E60" s="404"/>
      <c r="F60" s="715">
        <f>SUM(F57,F37)*0.05</f>
        <v>0</v>
      </c>
      <c r="G60" s="381"/>
      <c r="H60" s="388"/>
    </row>
    <row r="61" spans="1:256" s="389" customFormat="1">
      <c r="A61" s="354"/>
      <c r="B61" s="355"/>
      <c r="C61" s="455"/>
      <c r="D61" s="352"/>
      <c r="E61" s="360"/>
      <c r="F61" s="361"/>
      <c r="G61" s="381"/>
      <c r="H61" s="390"/>
    </row>
    <row r="62" spans="1:256" s="350" customFormat="1">
      <c r="A62" s="348" t="s">
        <v>177</v>
      </c>
      <c r="B62" s="349" t="s">
        <v>285</v>
      </c>
      <c r="C62" s="468"/>
      <c r="E62" s="376"/>
      <c r="F62" s="377">
        <f>F60+F57+F37</f>
        <v>0</v>
      </c>
      <c r="G62" s="345"/>
    </row>
    <row r="63" spans="1:256" s="350" customFormat="1">
      <c r="A63" s="348"/>
      <c r="B63" s="349"/>
      <c r="C63" s="468"/>
      <c r="E63" s="376"/>
      <c r="F63" s="377"/>
      <c r="G63" s="345"/>
    </row>
    <row r="64" spans="1:256" s="407" customFormat="1">
      <c r="A64" s="348" t="s">
        <v>175</v>
      </c>
      <c r="B64" s="349" t="s">
        <v>286</v>
      </c>
      <c r="C64" s="468"/>
      <c r="D64" s="350"/>
      <c r="E64" s="376"/>
      <c r="F64" s="377"/>
    </row>
    <row r="65" spans="1:12" s="407" customFormat="1">
      <c r="A65" s="349"/>
      <c r="B65" s="349"/>
      <c r="C65" s="471"/>
      <c r="D65" s="409"/>
      <c r="E65" s="410"/>
      <c r="F65" s="411"/>
    </row>
    <row r="66" spans="1:12" s="412" customFormat="1" ht="76.5">
      <c r="A66" s="364" t="s">
        <v>287</v>
      </c>
      <c r="B66" s="393" t="s">
        <v>288</v>
      </c>
      <c r="C66" s="456"/>
      <c r="D66" s="346"/>
      <c r="E66" s="356"/>
      <c r="F66" s="357"/>
    </row>
    <row r="67" spans="1:12" s="407" customFormat="1">
      <c r="A67" s="392"/>
      <c r="B67" s="393"/>
      <c r="C67" s="454">
        <f>C91+C92+C100+C98</f>
        <v>2</v>
      </c>
      <c r="D67" s="346" t="s">
        <v>190</v>
      </c>
      <c r="E67" s="356"/>
      <c r="F67" s="357">
        <f>C67*E67</f>
        <v>0</v>
      </c>
    </row>
    <row r="68" spans="1:12" s="407" customFormat="1">
      <c r="A68" s="392"/>
      <c r="B68" s="393"/>
      <c r="C68" s="456"/>
      <c r="D68" s="346"/>
      <c r="E68" s="356"/>
      <c r="F68" s="357"/>
    </row>
    <row r="69" spans="1:12" s="407" customFormat="1" ht="51">
      <c r="A69" s="364" t="s">
        <v>289</v>
      </c>
      <c r="B69" s="393" t="s">
        <v>488</v>
      </c>
      <c r="C69" s="456"/>
      <c r="D69" s="346"/>
      <c r="E69" s="356"/>
      <c r="F69" s="357"/>
    </row>
    <row r="70" spans="1:12" s="407" customFormat="1">
      <c r="A70" s="392"/>
      <c r="B70" s="393"/>
      <c r="C70" s="454">
        <f>C99+C100+C98</f>
        <v>2</v>
      </c>
      <c r="D70" s="346" t="s">
        <v>190</v>
      </c>
      <c r="E70" s="356"/>
      <c r="F70" s="357">
        <f>C70*E70</f>
        <v>0</v>
      </c>
    </row>
    <row r="71" spans="1:12" s="407" customFormat="1">
      <c r="A71" s="392"/>
      <c r="B71" s="393"/>
      <c r="C71" s="456"/>
      <c r="D71" s="346"/>
      <c r="E71" s="356"/>
      <c r="F71" s="357"/>
    </row>
    <row r="72" spans="1:12" s="407" customFormat="1" ht="38.25">
      <c r="A72" s="364" t="s">
        <v>291</v>
      </c>
      <c r="B72" s="393" t="s">
        <v>290</v>
      </c>
      <c r="C72" s="456"/>
      <c r="D72" s="346"/>
      <c r="E72" s="356"/>
      <c r="F72" s="357"/>
    </row>
    <row r="73" spans="1:12" s="407" customFormat="1">
      <c r="A73" s="392"/>
      <c r="B73" s="393"/>
      <c r="C73" s="454">
        <v>2</v>
      </c>
      <c r="D73" s="346" t="s">
        <v>190</v>
      </c>
      <c r="E73" s="356"/>
      <c r="F73" s="357">
        <f>C73*E73</f>
        <v>0</v>
      </c>
    </row>
    <row r="74" spans="1:12" s="407" customFormat="1">
      <c r="A74" s="392"/>
      <c r="B74" s="393"/>
      <c r="C74" s="456"/>
      <c r="D74" s="346"/>
      <c r="E74" s="356"/>
      <c r="F74" s="357"/>
    </row>
    <row r="75" spans="1:12" s="350" customFormat="1" ht="38.25">
      <c r="A75" s="364" t="s">
        <v>329</v>
      </c>
      <c r="B75" s="393" t="s">
        <v>292</v>
      </c>
      <c r="C75" s="456"/>
      <c r="D75" s="346"/>
      <c r="E75" s="356"/>
      <c r="F75" s="357"/>
      <c r="G75" s="345"/>
    </row>
    <row r="76" spans="1:12" s="350" customFormat="1">
      <c r="A76" s="413"/>
      <c r="B76" s="393"/>
      <c r="C76" s="454">
        <v>6</v>
      </c>
      <c r="D76" s="346" t="s">
        <v>105</v>
      </c>
      <c r="E76" s="356"/>
      <c r="F76" s="357">
        <f>C76*E76</f>
        <v>0</v>
      </c>
      <c r="G76" s="381"/>
      <c r="I76" s="346"/>
      <c r="J76" s="346"/>
      <c r="K76" s="346"/>
      <c r="L76" s="346"/>
    </row>
    <row r="77" spans="1:12" s="389" customFormat="1">
      <c r="A77" s="413"/>
      <c r="B77" s="393"/>
      <c r="C77" s="454"/>
      <c r="D77" s="346"/>
      <c r="E77" s="356"/>
      <c r="F77" s="357"/>
      <c r="G77" s="381"/>
      <c r="H77" s="381"/>
      <c r="I77" s="346"/>
      <c r="J77" s="346"/>
      <c r="K77" s="346"/>
      <c r="L77" s="346"/>
    </row>
    <row r="78" spans="1:12" s="389" customFormat="1">
      <c r="A78" s="348" t="s">
        <v>175</v>
      </c>
      <c r="B78" s="349" t="s">
        <v>293</v>
      </c>
      <c r="C78" s="464"/>
      <c r="D78" s="350"/>
      <c r="E78" s="376"/>
      <c r="F78" s="377">
        <f>SUM(F67:F77)</f>
        <v>0</v>
      </c>
      <c r="G78" s="381"/>
      <c r="H78" s="390"/>
      <c r="I78" s="346"/>
      <c r="J78" s="346"/>
      <c r="K78" s="346"/>
      <c r="L78" s="346"/>
    </row>
    <row r="79" spans="1:12" s="389" customFormat="1">
      <c r="A79" s="348"/>
      <c r="B79" s="349"/>
      <c r="C79" s="464"/>
      <c r="D79" s="350"/>
      <c r="E79" s="376"/>
      <c r="F79" s="377"/>
      <c r="G79" s="381"/>
      <c r="H79" s="390"/>
      <c r="I79" s="352"/>
      <c r="J79" s="352"/>
      <c r="K79" s="352"/>
      <c r="L79" s="352"/>
    </row>
    <row r="80" spans="1:12" s="389" customFormat="1">
      <c r="A80" s="348" t="s">
        <v>185</v>
      </c>
      <c r="B80" s="349" t="s">
        <v>294</v>
      </c>
      <c r="C80" s="464"/>
      <c r="D80" s="350"/>
      <c r="E80" s="376"/>
      <c r="F80" s="377"/>
      <c r="G80" s="381"/>
      <c r="H80" s="390"/>
      <c r="I80" s="352"/>
      <c r="J80" s="352"/>
      <c r="K80" s="352"/>
      <c r="L80" s="352"/>
    </row>
    <row r="81" spans="1:15" s="389" customFormat="1">
      <c r="A81" s="402"/>
      <c r="B81" s="393"/>
      <c r="C81" s="454"/>
      <c r="D81" s="346"/>
      <c r="E81" s="356"/>
      <c r="F81" s="357"/>
      <c r="G81" s="381"/>
      <c r="H81" s="390"/>
      <c r="I81" s="352"/>
      <c r="J81" s="352"/>
      <c r="K81" s="352"/>
      <c r="L81" s="352"/>
    </row>
    <row r="82" spans="1:15" s="389" customFormat="1" ht="38.25">
      <c r="A82" s="392"/>
      <c r="B82" s="393" t="s">
        <v>315</v>
      </c>
      <c r="C82" s="454"/>
      <c r="D82" s="346"/>
      <c r="E82" s="400"/>
      <c r="F82" s="401"/>
      <c r="G82" s="381"/>
      <c r="I82" s="346"/>
      <c r="J82" s="346"/>
      <c r="K82" s="346"/>
      <c r="L82" s="346"/>
    </row>
    <row r="83" spans="1:15" s="389" customFormat="1">
      <c r="A83" s="364" t="s">
        <v>295</v>
      </c>
      <c r="B83" s="393" t="s">
        <v>306</v>
      </c>
      <c r="C83" s="454">
        <f>K85</f>
        <v>191.98</v>
      </c>
      <c r="D83" s="346" t="s">
        <v>115</v>
      </c>
      <c r="E83" s="356"/>
      <c r="F83" s="357">
        <f>C83*E83</f>
        <v>0</v>
      </c>
      <c r="G83" s="381"/>
      <c r="I83" s="346"/>
      <c r="J83" s="346"/>
      <c r="K83" s="346"/>
      <c r="L83" s="346"/>
    </row>
    <row r="84" spans="1:15" s="389" customFormat="1">
      <c r="A84" s="402"/>
      <c r="B84" s="393"/>
      <c r="C84" s="454"/>
      <c r="D84" s="346"/>
      <c r="E84" s="356"/>
      <c r="F84" s="357"/>
      <c r="G84" s="381"/>
      <c r="H84" s="415"/>
      <c r="I84" s="346" t="s">
        <v>221</v>
      </c>
      <c r="J84" s="346" t="s">
        <v>238</v>
      </c>
      <c r="K84" s="346" t="s">
        <v>239</v>
      </c>
      <c r="L84" s="346"/>
      <c r="M84" s="389" t="s">
        <v>221</v>
      </c>
      <c r="N84" s="389" t="s">
        <v>238</v>
      </c>
      <c r="O84" s="389" t="s">
        <v>239</v>
      </c>
    </row>
    <row r="85" spans="1:15" s="389" customFormat="1" ht="76.5">
      <c r="A85" s="392"/>
      <c r="B85" s="393" t="s">
        <v>319</v>
      </c>
      <c r="C85" s="454"/>
      <c r="D85" s="346"/>
      <c r="E85" s="400"/>
      <c r="F85" s="401"/>
      <c r="G85" s="381"/>
      <c r="H85" s="415"/>
      <c r="I85" s="346" t="s">
        <v>306</v>
      </c>
      <c r="J85" s="346">
        <v>100</v>
      </c>
      <c r="K85" s="346">
        <v>191.98</v>
      </c>
      <c r="L85" s="346"/>
      <c r="M85" s="389" t="s">
        <v>306</v>
      </c>
      <c r="N85" s="389">
        <v>100</v>
      </c>
      <c r="O85" s="389">
        <v>31.38</v>
      </c>
    </row>
    <row r="86" spans="1:15" s="389" customFormat="1">
      <c r="A86" s="364" t="s">
        <v>296</v>
      </c>
      <c r="B86" s="393" t="s">
        <v>306</v>
      </c>
      <c r="C86" s="454">
        <f>C83</f>
        <v>191.98</v>
      </c>
      <c r="D86" s="346" t="s">
        <v>115</v>
      </c>
      <c r="E86" s="356"/>
      <c r="F86" s="357">
        <f>C86*E86</f>
        <v>0</v>
      </c>
      <c r="G86" s="381"/>
      <c r="H86" s="415"/>
      <c r="I86" s="346" t="s">
        <v>221</v>
      </c>
      <c r="J86" s="346" t="s">
        <v>238</v>
      </c>
      <c r="K86" s="346" t="s">
        <v>239</v>
      </c>
      <c r="L86" s="346"/>
      <c r="M86" s="389" t="s">
        <v>308</v>
      </c>
      <c r="N86" s="389">
        <v>80</v>
      </c>
      <c r="O86" s="389">
        <v>21.05</v>
      </c>
    </row>
    <row r="87" spans="1:15" s="389" customFormat="1">
      <c r="A87" s="364"/>
      <c r="B87" s="393"/>
      <c r="C87" s="454"/>
      <c r="D87" s="346"/>
      <c r="E87" s="356"/>
      <c r="F87" s="357"/>
      <c r="G87" s="381"/>
      <c r="H87" s="415"/>
      <c r="I87" s="346" t="s">
        <v>308</v>
      </c>
      <c r="J87" s="346">
        <v>80</v>
      </c>
      <c r="K87" s="346">
        <v>0</v>
      </c>
      <c r="L87" s="346"/>
    </row>
    <row r="88" spans="1:15" s="389" customFormat="1">
      <c r="A88" s="402"/>
      <c r="B88" s="393"/>
      <c r="C88" s="454"/>
      <c r="D88" s="346"/>
      <c r="E88" s="356"/>
      <c r="F88" s="357"/>
      <c r="G88" s="381"/>
      <c r="H88" s="415"/>
      <c r="I88" s="346"/>
      <c r="J88" s="346"/>
      <c r="K88" s="346"/>
      <c r="L88" s="346"/>
    </row>
    <row r="89" spans="1:15" s="421" customFormat="1">
      <c r="A89" s="364"/>
      <c r="B89" s="393"/>
      <c r="C89" s="454"/>
      <c r="D89" s="346"/>
      <c r="E89" s="356"/>
      <c r="F89" s="357"/>
      <c r="G89" s="419"/>
      <c r="H89" s="420"/>
    </row>
    <row r="90" spans="1:15" s="389" customFormat="1" ht="76.5">
      <c r="A90" s="392" t="s">
        <v>297</v>
      </c>
      <c r="B90" s="393" t="s">
        <v>298</v>
      </c>
      <c r="C90" s="458"/>
      <c r="D90" s="363"/>
      <c r="E90" s="414"/>
      <c r="F90" s="414"/>
      <c r="G90" s="381"/>
      <c r="H90" s="390"/>
    </row>
    <row r="91" spans="1:15" s="350" customFormat="1">
      <c r="A91" s="363"/>
      <c r="B91" s="363"/>
      <c r="C91" s="458"/>
      <c r="D91" s="416"/>
      <c r="E91" s="414"/>
      <c r="F91" s="414"/>
      <c r="G91" s="345"/>
    </row>
    <row r="92" spans="1:15" s="350" customFormat="1">
      <c r="A92" s="363">
        <v>1</v>
      </c>
      <c r="B92" s="363" t="s">
        <v>326</v>
      </c>
      <c r="C92" s="458">
        <v>1</v>
      </c>
      <c r="D92" s="416" t="s">
        <v>190</v>
      </c>
      <c r="E92" s="414"/>
      <c r="F92" s="414">
        <f t="shared" ref="F92:F102" si="1">C92*E92</f>
        <v>0</v>
      </c>
      <c r="G92" s="345"/>
    </row>
    <row r="93" spans="1:15" s="350" customFormat="1">
      <c r="A93" s="363"/>
      <c r="B93" s="363"/>
      <c r="C93" s="458"/>
      <c r="D93" s="346"/>
      <c r="E93" s="414"/>
      <c r="F93" s="414"/>
      <c r="G93" s="345"/>
    </row>
    <row r="94" spans="1:15" s="350" customFormat="1">
      <c r="A94" s="363">
        <v>2</v>
      </c>
      <c r="B94" s="363" t="s">
        <v>475</v>
      </c>
      <c r="C94" s="458">
        <v>2</v>
      </c>
      <c r="D94" s="346" t="s">
        <v>190</v>
      </c>
      <c r="E94" s="414"/>
      <c r="F94" s="414">
        <f t="shared" si="1"/>
        <v>0</v>
      </c>
      <c r="G94" s="345"/>
    </row>
    <row r="95" spans="1:15" s="350" customFormat="1">
      <c r="A95" s="363"/>
      <c r="B95" s="363"/>
      <c r="C95" s="458"/>
      <c r="D95" s="346"/>
      <c r="E95" s="414"/>
      <c r="F95" s="414"/>
      <c r="G95" s="345"/>
    </row>
    <row r="96" spans="1:15" s="350" customFormat="1">
      <c r="A96" s="434"/>
      <c r="B96" s="417"/>
      <c r="C96" s="459"/>
      <c r="D96" s="346"/>
      <c r="E96" s="414"/>
      <c r="F96" s="414"/>
      <c r="G96" s="345"/>
    </row>
    <row r="97" spans="1:256" s="346" customFormat="1">
      <c r="A97" s="434">
        <v>3</v>
      </c>
      <c r="B97" s="417" t="s">
        <v>323</v>
      </c>
      <c r="C97" s="459">
        <v>5</v>
      </c>
      <c r="D97" s="346" t="s">
        <v>190</v>
      </c>
      <c r="E97" s="414"/>
      <c r="F97" s="414">
        <f t="shared" si="1"/>
        <v>0</v>
      </c>
      <c r="G97" s="345"/>
      <c r="H97" s="345"/>
    </row>
    <row r="98" spans="1:256" s="720" customFormat="1" ht="25.5">
      <c r="A98" s="716">
        <v>4</v>
      </c>
      <c r="B98" s="417" t="s">
        <v>487</v>
      </c>
      <c r="C98" s="717">
        <v>1</v>
      </c>
      <c r="D98" s="718" t="s">
        <v>190</v>
      </c>
      <c r="E98" s="719"/>
      <c r="F98" s="719">
        <f t="shared" ref="F98" si="2">C98*E98</f>
        <v>0</v>
      </c>
    </row>
    <row r="99" spans="1:256" s="389" customFormat="1">
      <c r="A99" s="434">
        <v>5</v>
      </c>
      <c r="B99" s="417" t="s">
        <v>478</v>
      </c>
      <c r="C99" s="459">
        <v>1</v>
      </c>
      <c r="D99" s="346" t="s">
        <v>190</v>
      </c>
      <c r="E99" s="414"/>
      <c r="F99" s="414">
        <f t="shared" si="1"/>
        <v>0</v>
      </c>
    </row>
    <row r="100" spans="1:256" s="389" customFormat="1">
      <c r="A100" s="431"/>
      <c r="B100" s="432"/>
      <c r="C100" s="460"/>
      <c r="D100" s="433"/>
      <c r="E100" s="414"/>
      <c r="F100" s="414"/>
    </row>
    <row r="101" spans="1:256" s="389" customFormat="1">
      <c r="A101" s="434">
        <v>6</v>
      </c>
      <c r="B101" s="418" t="s">
        <v>327</v>
      </c>
      <c r="C101" s="459">
        <v>2</v>
      </c>
      <c r="D101" s="346" t="s">
        <v>190</v>
      </c>
      <c r="E101" s="414"/>
      <c r="F101" s="414">
        <f t="shared" si="1"/>
        <v>0</v>
      </c>
    </row>
    <row r="102" spans="1:256" s="389" customFormat="1">
      <c r="A102" s="435">
        <v>7</v>
      </c>
      <c r="B102" s="417" t="s">
        <v>474</v>
      </c>
      <c r="C102" s="458">
        <v>2</v>
      </c>
      <c r="D102" s="346" t="s">
        <v>190</v>
      </c>
      <c r="E102" s="414"/>
      <c r="F102" s="414">
        <f t="shared" si="1"/>
        <v>0</v>
      </c>
    </row>
    <row r="103" spans="1:256" s="389" customFormat="1" ht="63.75">
      <c r="A103" s="364" t="s">
        <v>837</v>
      </c>
      <c r="B103" s="393" t="s">
        <v>477</v>
      </c>
      <c r="C103" s="458"/>
      <c r="D103" s="363"/>
      <c r="E103" s="414"/>
      <c r="F103" s="414"/>
    </row>
    <row r="104" spans="1:256" s="389" customFormat="1">
      <c r="A104" s="422"/>
      <c r="B104" s="423"/>
      <c r="C104" s="462">
        <v>2</v>
      </c>
      <c r="D104" s="416" t="s">
        <v>190</v>
      </c>
      <c r="E104" s="424"/>
      <c r="F104" s="425">
        <f>C104*E104</f>
        <v>0</v>
      </c>
    </row>
    <row r="105" spans="1:256" s="389" customFormat="1">
      <c r="A105" s="354"/>
      <c r="B105" s="355"/>
      <c r="C105" s="455"/>
      <c r="D105" s="352"/>
      <c r="E105" s="360"/>
      <c r="F105" s="361"/>
    </row>
    <row r="106" spans="1:256" s="346" customFormat="1">
      <c r="A106" s="348" t="s">
        <v>185</v>
      </c>
      <c r="B106" s="349" t="s">
        <v>299</v>
      </c>
      <c r="C106" s="464"/>
      <c r="D106" s="350"/>
      <c r="E106" s="376"/>
      <c r="F106" s="377">
        <f>SUM(F81:F104)</f>
        <v>0</v>
      </c>
      <c r="G106" s="345"/>
      <c r="H106" s="345"/>
    </row>
    <row r="107" spans="1:256" s="350" customFormat="1">
      <c r="A107" s="354"/>
      <c r="B107" s="355"/>
      <c r="C107" s="455"/>
      <c r="D107" s="352"/>
      <c r="E107" s="352"/>
      <c r="F107" s="353"/>
      <c r="G107" s="381"/>
    </row>
    <row r="108" spans="1:256" s="352" customFormat="1">
      <c r="A108" s="348" t="s">
        <v>102</v>
      </c>
      <c r="B108" s="349" t="s">
        <v>170</v>
      </c>
      <c r="C108" s="464"/>
      <c r="D108" s="350"/>
      <c r="E108" s="376"/>
      <c r="F108" s="377"/>
      <c r="G108" s="345"/>
      <c r="H108" s="345"/>
      <c r="IV108" s="405"/>
    </row>
    <row r="109" spans="1:256">
      <c r="A109" s="364"/>
      <c r="B109" s="344"/>
      <c r="C109" s="454"/>
      <c r="D109" s="346"/>
      <c r="E109" s="356"/>
      <c r="F109" s="357"/>
    </row>
    <row r="110" spans="1:256" ht="25.5">
      <c r="A110" s="364" t="s">
        <v>300</v>
      </c>
      <c r="B110" s="393" t="s">
        <v>301</v>
      </c>
      <c r="C110" s="454"/>
      <c r="D110" s="346"/>
      <c r="E110" s="400"/>
      <c r="F110" s="401"/>
    </row>
    <row r="111" spans="1:256">
      <c r="A111" s="402"/>
      <c r="B111" s="393"/>
      <c r="C111" s="454">
        <f>C8</f>
        <v>191.98</v>
      </c>
      <c r="D111" s="346" t="s">
        <v>115</v>
      </c>
      <c r="E111" s="356"/>
      <c r="F111" s="357">
        <f>C111*E111</f>
        <v>0</v>
      </c>
    </row>
    <row r="112" spans="1:256">
      <c r="A112" s="402"/>
      <c r="B112" s="393"/>
      <c r="C112" s="454"/>
      <c r="D112" s="346"/>
      <c r="E112" s="356"/>
      <c r="F112" s="357"/>
    </row>
    <row r="113" spans="1:6" ht="51">
      <c r="A113" s="364" t="s">
        <v>302</v>
      </c>
      <c r="B113" s="393" t="s">
        <v>303</v>
      </c>
      <c r="C113" s="458"/>
      <c r="D113" s="363"/>
      <c r="E113" s="414"/>
      <c r="F113" s="414"/>
    </row>
    <row r="114" spans="1:6">
      <c r="A114" s="364"/>
      <c r="B114" s="393"/>
      <c r="C114" s="454">
        <f>C111</f>
        <v>191.98</v>
      </c>
      <c r="D114" s="346" t="s">
        <v>115</v>
      </c>
      <c r="E114" s="356"/>
      <c r="F114" s="357">
        <f>C114*E114</f>
        <v>0</v>
      </c>
    </row>
    <row r="115" spans="1:6">
      <c r="C115" s="457"/>
      <c r="E115" s="406"/>
    </row>
    <row r="116" spans="1:6">
      <c r="A116" s="348" t="s">
        <v>102</v>
      </c>
      <c r="B116" s="349" t="s">
        <v>304</v>
      </c>
      <c r="C116" s="464"/>
      <c r="D116" s="350"/>
      <c r="E116" s="376"/>
      <c r="F116" s="377">
        <f>SUM(F109:F115)</f>
        <v>0</v>
      </c>
    </row>
    <row r="117" spans="1:6">
      <c r="C117" s="457"/>
      <c r="E117" s="406"/>
    </row>
    <row r="119" spans="1:6">
      <c r="A119" s="429"/>
      <c r="B119" s="346"/>
      <c r="C119" s="466"/>
      <c r="D119" s="346"/>
      <c r="E119" s="346"/>
      <c r="F119" s="346"/>
    </row>
    <row r="120" spans="1:6">
      <c r="A120" s="429"/>
      <c r="B120" s="346"/>
      <c r="C120" s="466"/>
      <c r="D120" s="346"/>
      <c r="E120" s="346"/>
      <c r="F120" s="346"/>
    </row>
  </sheetData>
  <pageMargins left="0.70866141732283472" right="0.70866141732283472" top="0.74803149606299213" bottom="0.74803149606299213" header="0.31496062992125984" footer="0.31496062992125984"/>
  <pageSetup paperSize="9" orientation="portrait" r:id="rId1"/>
  <headerFooter>
    <oddHeader>&amp;CProjekt Dolenje in Gorenje Ponikve:
Kanalizacija, rekonstrukcija vodovoda in pločnik med naseljema</oddHeader>
    <oddFooter>&amp;R&amp;P/&amp;N</oddFooter>
  </headerFooter>
  <rowBreaks count="6" manualBreakCount="6">
    <brk id="11" max="5" man="1"/>
    <brk id="22" max="5" man="1"/>
    <brk id="43" max="5" man="1"/>
    <brk id="62" max="5" man="1"/>
    <brk id="79" max="5" man="1"/>
    <brk id="106" max="5"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V101"/>
  <sheetViews>
    <sheetView view="pageBreakPreview" topLeftCell="A79" zoomScale="140" zoomScaleNormal="150" zoomScaleSheetLayoutView="140" workbookViewId="0">
      <selection activeCell="E96" sqref="E96"/>
    </sheetView>
  </sheetViews>
  <sheetFormatPr defaultColWidth="9" defaultRowHeight="12.75"/>
  <cols>
    <col min="1" max="1" width="7.42578125" style="395" bestFit="1" customWidth="1"/>
    <col min="2" max="2" width="41.42578125" style="396" customWidth="1"/>
    <col min="3" max="3" width="8.7109375" style="472" customWidth="1"/>
    <col min="4" max="4" width="6.140625" style="394" customWidth="1"/>
    <col min="5" max="5" width="12.28515625" style="394" customWidth="1"/>
    <col min="6" max="6" width="12.42578125" style="428" customWidth="1"/>
    <col min="7" max="7" width="10.140625" style="394" customWidth="1"/>
    <col min="8" max="8" width="2" style="394" bestFit="1" customWidth="1"/>
    <col min="9" max="9" width="19.5703125" style="394" customWidth="1"/>
    <col min="10" max="10" width="4.85546875" style="394" customWidth="1"/>
    <col min="11" max="11" width="9.85546875" style="394" customWidth="1"/>
    <col min="12" max="12" width="12" style="394" customWidth="1"/>
    <col min="13" max="256" width="9" style="394"/>
    <col min="257" max="257" width="7.42578125" style="394" bestFit="1" customWidth="1"/>
    <col min="258" max="258" width="37.42578125" style="394" customWidth="1"/>
    <col min="259" max="259" width="14.140625" style="394" customWidth="1"/>
    <col min="260" max="260" width="6.140625" style="394" customWidth="1"/>
    <col min="261" max="261" width="12.28515625" style="394" customWidth="1"/>
    <col min="262" max="262" width="15.42578125" style="394" customWidth="1"/>
    <col min="263" max="263" width="10.140625" style="394" customWidth="1"/>
    <col min="264" max="264" width="2" style="394" bestFit="1" customWidth="1"/>
    <col min="265" max="265" width="39.42578125" style="394" customWidth="1"/>
    <col min="266" max="512" width="9" style="394"/>
    <col min="513" max="513" width="7.42578125" style="394" bestFit="1" customWidth="1"/>
    <col min="514" max="514" width="37.42578125" style="394" customWidth="1"/>
    <col min="515" max="515" width="14.140625" style="394" customWidth="1"/>
    <col min="516" max="516" width="6.140625" style="394" customWidth="1"/>
    <col min="517" max="517" width="12.28515625" style="394" customWidth="1"/>
    <col min="518" max="518" width="15.42578125" style="394" customWidth="1"/>
    <col min="519" max="519" width="10.140625" style="394" customWidth="1"/>
    <col min="520" max="520" width="2" style="394" bestFit="1" customWidth="1"/>
    <col min="521" max="521" width="39.42578125" style="394" customWidth="1"/>
    <col min="522" max="768" width="9" style="394"/>
    <col min="769" max="769" width="7.42578125" style="394" bestFit="1" customWidth="1"/>
    <col min="770" max="770" width="37.42578125" style="394" customWidth="1"/>
    <col min="771" max="771" width="14.140625" style="394" customWidth="1"/>
    <col min="772" max="772" width="6.140625" style="394" customWidth="1"/>
    <col min="773" max="773" width="12.28515625" style="394" customWidth="1"/>
    <col min="774" max="774" width="15.42578125" style="394" customWidth="1"/>
    <col min="775" max="775" width="10.140625" style="394" customWidth="1"/>
    <col min="776" max="776" width="2" style="394" bestFit="1" customWidth="1"/>
    <col min="777" max="777" width="39.42578125" style="394" customWidth="1"/>
    <col min="778" max="1024" width="9" style="394"/>
    <col min="1025" max="1025" width="7.42578125" style="394" bestFit="1" customWidth="1"/>
    <col min="1026" max="1026" width="37.42578125" style="394" customWidth="1"/>
    <col min="1027" max="1027" width="14.140625" style="394" customWidth="1"/>
    <col min="1028" max="1028" width="6.140625" style="394" customWidth="1"/>
    <col min="1029" max="1029" width="12.28515625" style="394" customWidth="1"/>
    <col min="1030" max="1030" width="15.42578125" style="394" customWidth="1"/>
    <col min="1031" max="1031" width="10.140625" style="394" customWidth="1"/>
    <col min="1032" max="1032" width="2" style="394" bestFit="1" customWidth="1"/>
    <col min="1033" max="1033" width="39.42578125" style="394" customWidth="1"/>
    <col min="1034" max="1280" width="9" style="394"/>
    <col min="1281" max="1281" width="7.42578125" style="394" bestFit="1" customWidth="1"/>
    <col min="1282" max="1282" width="37.42578125" style="394" customWidth="1"/>
    <col min="1283" max="1283" width="14.140625" style="394" customWidth="1"/>
    <col min="1284" max="1284" width="6.140625" style="394" customWidth="1"/>
    <col min="1285" max="1285" width="12.28515625" style="394" customWidth="1"/>
    <col min="1286" max="1286" width="15.42578125" style="394" customWidth="1"/>
    <col min="1287" max="1287" width="10.140625" style="394" customWidth="1"/>
    <col min="1288" max="1288" width="2" style="394" bestFit="1" customWidth="1"/>
    <col min="1289" max="1289" width="39.42578125" style="394" customWidth="1"/>
    <col min="1290" max="1536" width="9" style="394"/>
    <col min="1537" max="1537" width="7.42578125" style="394" bestFit="1" customWidth="1"/>
    <col min="1538" max="1538" width="37.42578125" style="394" customWidth="1"/>
    <col min="1539" max="1539" width="14.140625" style="394" customWidth="1"/>
    <col min="1540" max="1540" width="6.140625" style="394" customWidth="1"/>
    <col min="1541" max="1541" width="12.28515625" style="394" customWidth="1"/>
    <col min="1542" max="1542" width="15.42578125" style="394" customWidth="1"/>
    <col min="1543" max="1543" width="10.140625" style="394" customWidth="1"/>
    <col min="1544" max="1544" width="2" style="394" bestFit="1" customWidth="1"/>
    <col min="1545" max="1545" width="39.42578125" style="394" customWidth="1"/>
    <col min="1546" max="1792" width="9" style="394"/>
    <col min="1793" max="1793" width="7.42578125" style="394" bestFit="1" customWidth="1"/>
    <col min="1794" max="1794" width="37.42578125" style="394" customWidth="1"/>
    <col min="1795" max="1795" width="14.140625" style="394" customWidth="1"/>
    <col min="1796" max="1796" width="6.140625" style="394" customWidth="1"/>
    <col min="1797" max="1797" width="12.28515625" style="394" customWidth="1"/>
    <col min="1798" max="1798" width="15.42578125" style="394" customWidth="1"/>
    <col min="1799" max="1799" width="10.140625" style="394" customWidth="1"/>
    <col min="1800" max="1800" width="2" style="394" bestFit="1" customWidth="1"/>
    <col min="1801" max="1801" width="39.42578125" style="394" customWidth="1"/>
    <col min="1802" max="2048" width="9" style="394"/>
    <col min="2049" max="2049" width="7.42578125" style="394" bestFit="1" customWidth="1"/>
    <col min="2050" max="2050" width="37.42578125" style="394" customWidth="1"/>
    <col min="2051" max="2051" width="14.140625" style="394" customWidth="1"/>
    <col min="2052" max="2052" width="6.140625" style="394" customWidth="1"/>
    <col min="2053" max="2053" width="12.28515625" style="394" customWidth="1"/>
    <col min="2054" max="2054" width="15.42578125" style="394" customWidth="1"/>
    <col min="2055" max="2055" width="10.140625" style="394" customWidth="1"/>
    <col min="2056" max="2056" width="2" style="394" bestFit="1" customWidth="1"/>
    <col min="2057" max="2057" width="39.42578125" style="394" customWidth="1"/>
    <col min="2058" max="2304" width="9" style="394"/>
    <col min="2305" max="2305" width="7.42578125" style="394" bestFit="1" customWidth="1"/>
    <col min="2306" max="2306" width="37.42578125" style="394" customWidth="1"/>
    <col min="2307" max="2307" width="14.140625" style="394" customWidth="1"/>
    <col min="2308" max="2308" width="6.140625" style="394" customWidth="1"/>
    <col min="2309" max="2309" width="12.28515625" style="394" customWidth="1"/>
    <col min="2310" max="2310" width="15.42578125" style="394" customWidth="1"/>
    <col min="2311" max="2311" width="10.140625" style="394" customWidth="1"/>
    <col min="2312" max="2312" width="2" style="394" bestFit="1" customWidth="1"/>
    <col min="2313" max="2313" width="39.42578125" style="394" customWidth="1"/>
    <col min="2314" max="2560" width="9" style="394"/>
    <col min="2561" max="2561" width="7.42578125" style="394" bestFit="1" customWidth="1"/>
    <col min="2562" max="2562" width="37.42578125" style="394" customWidth="1"/>
    <col min="2563" max="2563" width="14.140625" style="394" customWidth="1"/>
    <col min="2564" max="2564" width="6.140625" style="394" customWidth="1"/>
    <col min="2565" max="2565" width="12.28515625" style="394" customWidth="1"/>
    <col min="2566" max="2566" width="15.42578125" style="394" customWidth="1"/>
    <col min="2567" max="2567" width="10.140625" style="394" customWidth="1"/>
    <col min="2568" max="2568" width="2" style="394" bestFit="1" customWidth="1"/>
    <col min="2569" max="2569" width="39.42578125" style="394" customWidth="1"/>
    <col min="2570" max="2816" width="9" style="394"/>
    <col min="2817" max="2817" width="7.42578125" style="394" bestFit="1" customWidth="1"/>
    <col min="2818" max="2818" width="37.42578125" style="394" customWidth="1"/>
    <col min="2819" max="2819" width="14.140625" style="394" customWidth="1"/>
    <col min="2820" max="2820" width="6.140625" style="394" customWidth="1"/>
    <col min="2821" max="2821" width="12.28515625" style="394" customWidth="1"/>
    <col min="2822" max="2822" width="15.42578125" style="394" customWidth="1"/>
    <col min="2823" max="2823" width="10.140625" style="394" customWidth="1"/>
    <col min="2824" max="2824" width="2" style="394" bestFit="1" customWidth="1"/>
    <col min="2825" max="2825" width="39.42578125" style="394" customWidth="1"/>
    <col min="2826" max="3072" width="9" style="394"/>
    <col min="3073" max="3073" width="7.42578125" style="394" bestFit="1" customWidth="1"/>
    <col min="3074" max="3074" width="37.42578125" style="394" customWidth="1"/>
    <col min="3075" max="3075" width="14.140625" style="394" customWidth="1"/>
    <col min="3076" max="3076" width="6.140625" style="394" customWidth="1"/>
    <col min="3077" max="3077" width="12.28515625" style="394" customWidth="1"/>
    <col min="3078" max="3078" width="15.42578125" style="394" customWidth="1"/>
    <col min="3079" max="3079" width="10.140625" style="394" customWidth="1"/>
    <col min="3080" max="3080" width="2" style="394" bestFit="1" customWidth="1"/>
    <col min="3081" max="3081" width="39.42578125" style="394" customWidth="1"/>
    <col min="3082" max="3328" width="9" style="394"/>
    <col min="3329" max="3329" width="7.42578125" style="394" bestFit="1" customWidth="1"/>
    <col min="3330" max="3330" width="37.42578125" style="394" customWidth="1"/>
    <col min="3331" max="3331" width="14.140625" style="394" customWidth="1"/>
    <col min="3332" max="3332" width="6.140625" style="394" customWidth="1"/>
    <col min="3333" max="3333" width="12.28515625" style="394" customWidth="1"/>
    <col min="3334" max="3334" width="15.42578125" style="394" customWidth="1"/>
    <col min="3335" max="3335" width="10.140625" style="394" customWidth="1"/>
    <col min="3336" max="3336" width="2" style="394" bestFit="1" customWidth="1"/>
    <col min="3337" max="3337" width="39.42578125" style="394" customWidth="1"/>
    <col min="3338" max="3584" width="9" style="394"/>
    <col min="3585" max="3585" width="7.42578125" style="394" bestFit="1" customWidth="1"/>
    <col min="3586" max="3586" width="37.42578125" style="394" customWidth="1"/>
    <col min="3587" max="3587" width="14.140625" style="394" customWidth="1"/>
    <col min="3588" max="3588" width="6.140625" style="394" customWidth="1"/>
    <col min="3589" max="3589" width="12.28515625" style="394" customWidth="1"/>
    <col min="3590" max="3590" width="15.42578125" style="394" customWidth="1"/>
    <col min="3591" max="3591" width="10.140625" style="394" customWidth="1"/>
    <col min="3592" max="3592" width="2" style="394" bestFit="1" customWidth="1"/>
    <col min="3593" max="3593" width="39.42578125" style="394" customWidth="1"/>
    <col min="3594" max="3840" width="9" style="394"/>
    <col min="3841" max="3841" width="7.42578125" style="394" bestFit="1" customWidth="1"/>
    <col min="3842" max="3842" width="37.42578125" style="394" customWidth="1"/>
    <col min="3843" max="3843" width="14.140625" style="394" customWidth="1"/>
    <col min="3844" max="3844" width="6.140625" style="394" customWidth="1"/>
    <col min="3845" max="3845" width="12.28515625" style="394" customWidth="1"/>
    <col min="3846" max="3846" width="15.42578125" style="394" customWidth="1"/>
    <col min="3847" max="3847" width="10.140625" style="394" customWidth="1"/>
    <col min="3848" max="3848" width="2" style="394" bestFit="1" customWidth="1"/>
    <col min="3849" max="3849" width="39.42578125" style="394" customWidth="1"/>
    <col min="3850" max="4096" width="9" style="394"/>
    <col min="4097" max="4097" width="7.42578125" style="394" bestFit="1" customWidth="1"/>
    <col min="4098" max="4098" width="37.42578125" style="394" customWidth="1"/>
    <col min="4099" max="4099" width="14.140625" style="394" customWidth="1"/>
    <col min="4100" max="4100" width="6.140625" style="394" customWidth="1"/>
    <col min="4101" max="4101" width="12.28515625" style="394" customWidth="1"/>
    <col min="4102" max="4102" width="15.42578125" style="394" customWidth="1"/>
    <col min="4103" max="4103" width="10.140625" style="394" customWidth="1"/>
    <col min="4104" max="4104" width="2" style="394" bestFit="1" customWidth="1"/>
    <col min="4105" max="4105" width="39.42578125" style="394" customWidth="1"/>
    <col min="4106" max="4352" width="9" style="394"/>
    <col min="4353" max="4353" width="7.42578125" style="394" bestFit="1" customWidth="1"/>
    <col min="4354" max="4354" width="37.42578125" style="394" customWidth="1"/>
    <col min="4355" max="4355" width="14.140625" style="394" customWidth="1"/>
    <col min="4356" max="4356" width="6.140625" style="394" customWidth="1"/>
    <col min="4357" max="4357" width="12.28515625" style="394" customWidth="1"/>
    <col min="4358" max="4358" width="15.42578125" style="394" customWidth="1"/>
    <col min="4359" max="4359" width="10.140625" style="394" customWidth="1"/>
    <col min="4360" max="4360" width="2" style="394" bestFit="1" customWidth="1"/>
    <col min="4361" max="4361" width="39.42578125" style="394" customWidth="1"/>
    <col min="4362" max="4608" width="9" style="394"/>
    <col min="4609" max="4609" width="7.42578125" style="394" bestFit="1" customWidth="1"/>
    <col min="4610" max="4610" width="37.42578125" style="394" customWidth="1"/>
    <col min="4611" max="4611" width="14.140625" style="394" customWidth="1"/>
    <col min="4612" max="4612" width="6.140625" style="394" customWidth="1"/>
    <col min="4613" max="4613" width="12.28515625" style="394" customWidth="1"/>
    <col min="4614" max="4614" width="15.42578125" style="394" customWidth="1"/>
    <col min="4615" max="4615" width="10.140625" style="394" customWidth="1"/>
    <col min="4616" max="4616" width="2" style="394" bestFit="1" customWidth="1"/>
    <col min="4617" max="4617" width="39.42578125" style="394" customWidth="1"/>
    <col min="4618" max="4864" width="9" style="394"/>
    <col min="4865" max="4865" width="7.42578125" style="394" bestFit="1" customWidth="1"/>
    <col min="4866" max="4866" width="37.42578125" style="394" customWidth="1"/>
    <col min="4867" max="4867" width="14.140625" style="394" customWidth="1"/>
    <col min="4868" max="4868" width="6.140625" style="394" customWidth="1"/>
    <col min="4869" max="4869" width="12.28515625" style="394" customWidth="1"/>
    <col min="4870" max="4870" width="15.42578125" style="394" customWidth="1"/>
    <col min="4871" max="4871" width="10.140625" style="394" customWidth="1"/>
    <col min="4872" max="4872" width="2" style="394" bestFit="1" customWidth="1"/>
    <col min="4873" max="4873" width="39.42578125" style="394" customWidth="1"/>
    <col min="4874" max="5120" width="9" style="394"/>
    <col min="5121" max="5121" width="7.42578125" style="394" bestFit="1" customWidth="1"/>
    <col min="5122" max="5122" width="37.42578125" style="394" customWidth="1"/>
    <col min="5123" max="5123" width="14.140625" style="394" customWidth="1"/>
    <col min="5124" max="5124" width="6.140625" style="394" customWidth="1"/>
    <col min="5125" max="5125" width="12.28515625" style="394" customWidth="1"/>
    <col min="5126" max="5126" width="15.42578125" style="394" customWidth="1"/>
    <col min="5127" max="5127" width="10.140625" style="394" customWidth="1"/>
    <col min="5128" max="5128" width="2" style="394" bestFit="1" customWidth="1"/>
    <col min="5129" max="5129" width="39.42578125" style="394" customWidth="1"/>
    <col min="5130" max="5376" width="9" style="394"/>
    <col min="5377" max="5377" width="7.42578125" style="394" bestFit="1" customWidth="1"/>
    <col min="5378" max="5378" width="37.42578125" style="394" customWidth="1"/>
    <col min="5379" max="5379" width="14.140625" style="394" customWidth="1"/>
    <col min="5380" max="5380" width="6.140625" style="394" customWidth="1"/>
    <col min="5381" max="5381" width="12.28515625" style="394" customWidth="1"/>
    <col min="5382" max="5382" width="15.42578125" style="394" customWidth="1"/>
    <col min="5383" max="5383" width="10.140625" style="394" customWidth="1"/>
    <col min="5384" max="5384" width="2" style="394" bestFit="1" customWidth="1"/>
    <col min="5385" max="5385" width="39.42578125" style="394" customWidth="1"/>
    <col min="5386" max="5632" width="9" style="394"/>
    <col min="5633" max="5633" width="7.42578125" style="394" bestFit="1" customWidth="1"/>
    <col min="5634" max="5634" width="37.42578125" style="394" customWidth="1"/>
    <col min="5635" max="5635" width="14.140625" style="394" customWidth="1"/>
    <col min="5636" max="5636" width="6.140625" style="394" customWidth="1"/>
    <col min="5637" max="5637" width="12.28515625" style="394" customWidth="1"/>
    <col min="5638" max="5638" width="15.42578125" style="394" customWidth="1"/>
    <col min="5639" max="5639" width="10.140625" style="394" customWidth="1"/>
    <col min="5640" max="5640" width="2" style="394" bestFit="1" customWidth="1"/>
    <col min="5641" max="5641" width="39.42578125" style="394" customWidth="1"/>
    <col min="5642" max="5888" width="9" style="394"/>
    <col min="5889" max="5889" width="7.42578125" style="394" bestFit="1" customWidth="1"/>
    <col min="5890" max="5890" width="37.42578125" style="394" customWidth="1"/>
    <col min="5891" max="5891" width="14.140625" style="394" customWidth="1"/>
    <col min="5892" max="5892" width="6.140625" style="394" customWidth="1"/>
    <col min="5893" max="5893" width="12.28515625" style="394" customWidth="1"/>
    <col min="5894" max="5894" width="15.42578125" style="394" customWidth="1"/>
    <col min="5895" max="5895" width="10.140625" style="394" customWidth="1"/>
    <col min="5896" max="5896" width="2" style="394" bestFit="1" customWidth="1"/>
    <col min="5897" max="5897" width="39.42578125" style="394" customWidth="1"/>
    <col min="5898" max="6144" width="9" style="394"/>
    <col min="6145" max="6145" width="7.42578125" style="394" bestFit="1" customWidth="1"/>
    <col min="6146" max="6146" width="37.42578125" style="394" customWidth="1"/>
    <col min="6147" max="6147" width="14.140625" style="394" customWidth="1"/>
    <col min="6148" max="6148" width="6.140625" style="394" customWidth="1"/>
    <col min="6149" max="6149" width="12.28515625" style="394" customWidth="1"/>
    <col min="6150" max="6150" width="15.42578125" style="394" customWidth="1"/>
    <col min="6151" max="6151" width="10.140625" style="394" customWidth="1"/>
    <col min="6152" max="6152" width="2" style="394" bestFit="1" customWidth="1"/>
    <col min="6153" max="6153" width="39.42578125" style="394" customWidth="1"/>
    <col min="6154" max="6400" width="9" style="394"/>
    <col min="6401" max="6401" width="7.42578125" style="394" bestFit="1" customWidth="1"/>
    <col min="6402" max="6402" width="37.42578125" style="394" customWidth="1"/>
    <col min="6403" max="6403" width="14.140625" style="394" customWidth="1"/>
    <col min="6404" max="6404" width="6.140625" style="394" customWidth="1"/>
    <col min="6405" max="6405" width="12.28515625" style="394" customWidth="1"/>
    <col min="6406" max="6406" width="15.42578125" style="394" customWidth="1"/>
    <col min="6407" max="6407" width="10.140625" style="394" customWidth="1"/>
    <col min="6408" max="6408" width="2" style="394" bestFit="1" customWidth="1"/>
    <col min="6409" max="6409" width="39.42578125" style="394" customWidth="1"/>
    <col min="6410" max="6656" width="9" style="394"/>
    <col min="6657" max="6657" width="7.42578125" style="394" bestFit="1" customWidth="1"/>
    <col min="6658" max="6658" width="37.42578125" style="394" customWidth="1"/>
    <col min="6659" max="6659" width="14.140625" style="394" customWidth="1"/>
    <col min="6660" max="6660" width="6.140625" style="394" customWidth="1"/>
    <col min="6661" max="6661" width="12.28515625" style="394" customWidth="1"/>
    <col min="6662" max="6662" width="15.42578125" style="394" customWidth="1"/>
    <col min="6663" max="6663" width="10.140625" style="394" customWidth="1"/>
    <col min="6664" max="6664" width="2" style="394" bestFit="1" customWidth="1"/>
    <col min="6665" max="6665" width="39.42578125" style="394" customWidth="1"/>
    <col min="6666" max="6912" width="9" style="394"/>
    <col min="6913" max="6913" width="7.42578125" style="394" bestFit="1" customWidth="1"/>
    <col min="6914" max="6914" width="37.42578125" style="394" customWidth="1"/>
    <col min="6915" max="6915" width="14.140625" style="394" customWidth="1"/>
    <col min="6916" max="6916" width="6.140625" style="394" customWidth="1"/>
    <col min="6917" max="6917" width="12.28515625" style="394" customWidth="1"/>
    <col min="6918" max="6918" width="15.42578125" style="394" customWidth="1"/>
    <col min="6919" max="6919" width="10.140625" style="394" customWidth="1"/>
    <col min="6920" max="6920" width="2" style="394" bestFit="1" customWidth="1"/>
    <col min="6921" max="6921" width="39.42578125" style="394" customWidth="1"/>
    <col min="6922" max="7168" width="9" style="394"/>
    <col min="7169" max="7169" width="7.42578125" style="394" bestFit="1" customWidth="1"/>
    <col min="7170" max="7170" width="37.42578125" style="394" customWidth="1"/>
    <col min="7171" max="7171" width="14.140625" style="394" customWidth="1"/>
    <col min="7172" max="7172" width="6.140625" style="394" customWidth="1"/>
    <col min="7173" max="7173" width="12.28515625" style="394" customWidth="1"/>
    <col min="7174" max="7174" width="15.42578125" style="394" customWidth="1"/>
    <col min="7175" max="7175" width="10.140625" style="394" customWidth="1"/>
    <col min="7176" max="7176" width="2" style="394" bestFit="1" customWidth="1"/>
    <col min="7177" max="7177" width="39.42578125" style="394" customWidth="1"/>
    <col min="7178" max="7424" width="9" style="394"/>
    <col min="7425" max="7425" width="7.42578125" style="394" bestFit="1" customWidth="1"/>
    <col min="7426" max="7426" width="37.42578125" style="394" customWidth="1"/>
    <col min="7427" max="7427" width="14.140625" style="394" customWidth="1"/>
    <col min="7428" max="7428" width="6.140625" style="394" customWidth="1"/>
    <col min="7429" max="7429" width="12.28515625" style="394" customWidth="1"/>
    <col min="7430" max="7430" width="15.42578125" style="394" customWidth="1"/>
    <col min="7431" max="7431" width="10.140625" style="394" customWidth="1"/>
    <col min="7432" max="7432" width="2" style="394" bestFit="1" customWidth="1"/>
    <col min="7433" max="7433" width="39.42578125" style="394" customWidth="1"/>
    <col min="7434" max="7680" width="9" style="394"/>
    <col min="7681" max="7681" width="7.42578125" style="394" bestFit="1" customWidth="1"/>
    <col min="7682" max="7682" width="37.42578125" style="394" customWidth="1"/>
    <col min="7683" max="7683" width="14.140625" style="394" customWidth="1"/>
    <col min="7684" max="7684" width="6.140625" style="394" customWidth="1"/>
    <col min="7685" max="7685" width="12.28515625" style="394" customWidth="1"/>
    <col min="7686" max="7686" width="15.42578125" style="394" customWidth="1"/>
    <col min="7687" max="7687" width="10.140625" style="394" customWidth="1"/>
    <col min="7688" max="7688" width="2" style="394" bestFit="1" customWidth="1"/>
    <col min="7689" max="7689" width="39.42578125" style="394" customWidth="1"/>
    <col min="7690" max="7936" width="9" style="394"/>
    <col min="7937" max="7937" width="7.42578125" style="394" bestFit="1" customWidth="1"/>
    <col min="7938" max="7938" width="37.42578125" style="394" customWidth="1"/>
    <col min="7939" max="7939" width="14.140625" style="394" customWidth="1"/>
    <col min="7940" max="7940" width="6.140625" style="394" customWidth="1"/>
    <col min="7941" max="7941" width="12.28515625" style="394" customWidth="1"/>
    <col min="7942" max="7942" width="15.42578125" style="394" customWidth="1"/>
    <col min="7943" max="7943" width="10.140625" style="394" customWidth="1"/>
    <col min="7944" max="7944" width="2" style="394" bestFit="1" customWidth="1"/>
    <col min="7945" max="7945" width="39.42578125" style="394" customWidth="1"/>
    <col min="7946" max="8192" width="9" style="394"/>
    <col min="8193" max="8193" width="7.42578125" style="394" bestFit="1" customWidth="1"/>
    <col min="8194" max="8194" width="37.42578125" style="394" customWidth="1"/>
    <col min="8195" max="8195" width="14.140625" style="394" customWidth="1"/>
    <col min="8196" max="8196" width="6.140625" style="394" customWidth="1"/>
    <col min="8197" max="8197" width="12.28515625" style="394" customWidth="1"/>
    <col min="8198" max="8198" width="15.42578125" style="394" customWidth="1"/>
    <col min="8199" max="8199" width="10.140625" style="394" customWidth="1"/>
    <col min="8200" max="8200" width="2" style="394" bestFit="1" customWidth="1"/>
    <col min="8201" max="8201" width="39.42578125" style="394" customWidth="1"/>
    <col min="8202" max="8448" width="9" style="394"/>
    <col min="8449" max="8449" width="7.42578125" style="394" bestFit="1" customWidth="1"/>
    <col min="8450" max="8450" width="37.42578125" style="394" customWidth="1"/>
    <col min="8451" max="8451" width="14.140625" style="394" customWidth="1"/>
    <col min="8452" max="8452" width="6.140625" style="394" customWidth="1"/>
    <col min="8453" max="8453" width="12.28515625" style="394" customWidth="1"/>
    <col min="8454" max="8454" width="15.42578125" style="394" customWidth="1"/>
    <col min="8455" max="8455" width="10.140625" style="394" customWidth="1"/>
    <col min="8456" max="8456" width="2" style="394" bestFit="1" customWidth="1"/>
    <col min="8457" max="8457" width="39.42578125" style="394" customWidth="1"/>
    <col min="8458" max="8704" width="9" style="394"/>
    <col min="8705" max="8705" width="7.42578125" style="394" bestFit="1" customWidth="1"/>
    <col min="8706" max="8706" width="37.42578125" style="394" customWidth="1"/>
    <col min="8707" max="8707" width="14.140625" style="394" customWidth="1"/>
    <col min="8708" max="8708" width="6.140625" style="394" customWidth="1"/>
    <col min="8709" max="8709" width="12.28515625" style="394" customWidth="1"/>
    <col min="8710" max="8710" width="15.42578125" style="394" customWidth="1"/>
    <col min="8711" max="8711" width="10.140625" style="394" customWidth="1"/>
    <col min="8712" max="8712" width="2" style="394" bestFit="1" customWidth="1"/>
    <col min="8713" max="8713" width="39.42578125" style="394" customWidth="1"/>
    <col min="8714" max="8960" width="9" style="394"/>
    <col min="8961" max="8961" width="7.42578125" style="394" bestFit="1" customWidth="1"/>
    <col min="8962" max="8962" width="37.42578125" style="394" customWidth="1"/>
    <col min="8963" max="8963" width="14.140625" style="394" customWidth="1"/>
    <col min="8964" max="8964" width="6.140625" style="394" customWidth="1"/>
    <col min="8965" max="8965" width="12.28515625" style="394" customWidth="1"/>
    <col min="8966" max="8966" width="15.42578125" style="394" customWidth="1"/>
    <col min="8967" max="8967" width="10.140625" style="394" customWidth="1"/>
    <col min="8968" max="8968" width="2" style="394" bestFit="1" customWidth="1"/>
    <col min="8969" max="8969" width="39.42578125" style="394" customWidth="1"/>
    <col min="8970" max="9216" width="9" style="394"/>
    <col min="9217" max="9217" width="7.42578125" style="394" bestFit="1" customWidth="1"/>
    <col min="9218" max="9218" width="37.42578125" style="394" customWidth="1"/>
    <col min="9219" max="9219" width="14.140625" style="394" customWidth="1"/>
    <col min="9220" max="9220" width="6.140625" style="394" customWidth="1"/>
    <col min="9221" max="9221" width="12.28515625" style="394" customWidth="1"/>
    <col min="9222" max="9222" width="15.42578125" style="394" customWidth="1"/>
    <col min="9223" max="9223" width="10.140625" style="394" customWidth="1"/>
    <col min="9224" max="9224" width="2" style="394" bestFit="1" customWidth="1"/>
    <col min="9225" max="9225" width="39.42578125" style="394" customWidth="1"/>
    <col min="9226" max="9472" width="9" style="394"/>
    <col min="9473" max="9473" width="7.42578125" style="394" bestFit="1" customWidth="1"/>
    <col min="9474" max="9474" width="37.42578125" style="394" customWidth="1"/>
    <col min="9475" max="9475" width="14.140625" style="394" customWidth="1"/>
    <col min="9476" max="9476" width="6.140625" style="394" customWidth="1"/>
    <col min="9477" max="9477" width="12.28515625" style="394" customWidth="1"/>
    <col min="9478" max="9478" width="15.42578125" style="394" customWidth="1"/>
    <col min="9479" max="9479" width="10.140625" style="394" customWidth="1"/>
    <col min="9480" max="9480" width="2" style="394" bestFit="1" customWidth="1"/>
    <col min="9481" max="9481" width="39.42578125" style="394" customWidth="1"/>
    <col min="9482" max="9728" width="9" style="394"/>
    <col min="9729" max="9729" width="7.42578125" style="394" bestFit="1" customWidth="1"/>
    <col min="9730" max="9730" width="37.42578125" style="394" customWidth="1"/>
    <col min="9731" max="9731" width="14.140625" style="394" customWidth="1"/>
    <col min="9732" max="9732" width="6.140625" style="394" customWidth="1"/>
    <col min="9733" max="9733" width="12.28515625" style="394" customWidth="1"/>
    <col min="9734" max="9734" width="15.42578125" style="394" customWidth="1"/>
    <col min="9735" max="9735" width="10.140625" style="394" customWidth="1"/>
    <col min="9736" max="9736" width="2" style="394" bestFit="1" customWidth="1"/>
    <col min="9737" max="9737" width="39.42578125" style="394" customWidth="1"/>
    <col min="9738" max="9984" width="9" style="394"/>
    <col min="9985" max="9985" width="7.42578125" style="394" bestFit="1" customWidth="1"/>
    <col min="9986" max="9986" width="37.42578125" style="394" customWidth="1"/>
    <col min="9987" max="9987" width="14.140625" style="394" customWidth="1"/>
    <col min="9988" max="9988" width="6.140625" style="394" customWidth="1"/>
    <col min="9989" max="9989" width="12.28515625" style="394" customWidth="1"/>
    <col min="9990" max="9990" width="15.42578125" style="394" customWidth="1"/>
    <col min="9991" max="9991" width="10.140625" style="394" customWidth="1"/>
    <col min="9992" max="9992" width="2" style="394" bestFit="1" customWidth="1"/>
    <col min="9993" max="9993" width="39.42578125" style="394" customWidth="1"/>
    <col min="9994" max="10240" width="9" style="394"/>
    <col min="10241" max="10241" width="7.42578125" style="394" bestFit="1" customWidth="1"/>
    <col min="10242" max="10242" width="37.42578125" style="394" customWidth="1"/>
    <col min="10243" max="10243" width="14.140625" style="394" customWidth="1"/>
    <col min="10244" max="10244" width="6.140625" style="394" customWidth="1"/>
    <col min="10245" max="10245" width="12.28515625" style="394" customWidth="1"/>
    <col min="10246" max="10246" width="15.42578125" style="394" customWidth="1"/>
    <col min="10247" max="10247" width="10.140625" style="394" customWidth="1"/>
    <col min="10248" max="10248" width="2" style="394" bestFit="1" customWidth="1"/>
    <col min="10249" max="10249" width="39.42578125" style="394" customWidth="1"/>
    <col min="10250" max="10496" width="9" style="394"/>
    <col min="10497" max="10497" width="7.42578125" style="394" bestFit="1" customWidth="1"/>
    <col min="10498" max="10498" width="37.42578125" style="394" customWidth="1"/>
    <col min="10499" max="10499" width="14.140625" style="394" customWidth="1"/>
    <col min="10500" max="10500" width="6.140625" style="394" customWidth="1"/>
    <col min="10501" max="10501" width="12.28515625" style="394" customWidth="1"/>
    <col min="10502" max="10502" width="15.42578125" style="394" customWidth="1"/>
    <col min="10503" max="10503" width="10.140625" style="394" customWidth="1"/>
    <col min="10504" max="10504" width="2" style="394" bestFit="1" customWidth="1"/>
    <col min="10505" max="10505" width="39.42578125" style="394" customWidth="1"/>
    <col min="10506" max="10752" width="9" style="394"/>
    <col min="10753" max="10753" width="7.42578125" style="394" bestFit="1" customWidth="1"/>
    <col min="10754" max="10754" width="37.42578125" style="394" customWidth="1"/>
    <col min="10755" max="10755" width="14.140625" style="394" customWidth="1"/>
    <col min="10756" max="10756" width="6.140625" style="394" customWidth="1"/>
    <col min="10757" max="10757" width="12.28515625" style="394" customWidth="1"/>
    <col min="10758" max="10758" width="15.42578125" style="394" customWidth="1"/>
    <col min="10759" max="10759" width="10.140625" style="394" customWidth="1"/>
    <col min="10760" max="10760" width="2" style="394" bestFit="1" customWidth="1"/>
    <col min="10761" max="10761" width="39.42578125" style="394" customWidth="1"/>
    <col min="10762" max="11008" width="9" style="394"/>
    <col min="11009" max="11009" width="7.42578125" style="394" bestFit="1" customWidth="1"/>
    <col min="11010" max="11010" width="37.42578125" style="394" customWidth="1"/>
    <col min="11011" max="11011" width="14.140625" style="394" customWidth="1"/>
    <col min="11012" max="11012" width="6.140625" style="394" customWidth="1"/>
    <col min="11013" max="11013" width="12.28515625" style="394" customWidth="1"/>
    <col min="11014" max="11014" width="15.42578125" style="394" customWidth="1"/>
    <col min="11015" max="11015" width="10.140625" style="394" customWidth="1"/>
    <col min="11016" max="11016" width="2" style="394" bestFit="1" customWidth="1"/>
    <col min="11017" max="11017" width="39.42578125" style="394" customWidth="1"/>
    <col min="11018" max="11264" width="9" style="394"/>
    <col min="11265" max="11265" width="7.42578125" style="394" bestFit="1" customWidth="1"/>
    <col min="11266" max="11266" width="37.42578125" style="394" customWidth="1"/>
    <col min="11267" max="11267" width="14.140625" style="394" customWidth="1"/>
    <col min="11268" max="11268" width="6.140625" style="394" customWidth="1"/>
    <col min="11269" max="11269" width="12.28515625" style="394" customWidth="1"/>
    <col min="11270" max="11270" width="15.42578125" style="394" customWidth="1"/>
    <col min="11271" max="11271" width="10.140625" style="394" customWidth="1"/>
    <col min="11272" max="11272" width="2" style="394" bestFit="1" customWidth="1"/>
    <col min="11273" max="11273" width="39.42578125" style="394" customWidth="1"/>
    <col min="11274" max="11520" width="9" style="394"/>
    <col min="11521" max="11521" width="7.42578125" style="394" bestFit="1" customWidth="1"/>
    <col min="11522" max="11522" width="37.42578125" style="394" customWidth="1"/>
    <col min="11523" max="11523" width="14.140625" style="394" customWidth="1"/>
    <col min="11524" max="11524" width="6.140625" style="394" customWidth="1"/>
    <col min="11525" max="11525" width="12.28515625" style="394" customWidth="1"/>
    <col min="11526" max="11526" width="15.42578125" style="394" customWidth="1"/>
    <col min="11527" max="11527" width="10.140625" style="394" customWidth="1"/>
    <col min="11528" max="11528" width="2" style="394" bestFit="1" customWidth="1"/>
    <col min="11529" max="11529" width="39.42578125" style="394" customWidth="1"/>
    <col min="11530" max="11776" width="9" style="394"/>
    <col min="11777" max="11777" width="7.42578125" style="394" bestFit="1" customWidth="1"/>
    <col min="11778" max="11778" width="37.42578125" style="394" customWidth="1"/>
    <col min="11779" max="11779" width="14.140625" style="394" customWidth="1"/>
    <col min="11780" max="11780" width="6.140625" style="394" customWidth="1"/>
    <col min="11781" max="11781" width="12.28515625" style="394" customWidth="1"/>
    <col min="11782" max="11782" width="15.42578125" style="394" customWidth="1"/>
    <col min="11783" max="11783" width="10.140625" style="394" customWidth="1"/>
    <col min="11784" max="11784" width="2" style="394" bestFit="1" customWidth="1"/>
    <col min="11785" max="11785" width="39.42578125" style="394" customWidth="1"/>
    <col min="11786" max="12032" width="9" style="394"/>
    <col min="12033" max="12033" width="7.42578125" style="394" bestFit="1" customWidth="1"/>
    <col min="12034" max="12034" width="37.42578125" style="394" customWidth="1"/>
    <col min="12035" max="12035" width="14.140625" style="394" customWidth="1"/>
    <col min="12036" max="12036" width="6.140625" style="394" customWidth="1"/>
    <col min="12037" max="12037" width="12.28515625" style="394" customWidth="1"/>
    <col min="12038" max="12038" width="15.42578125" style="394" customWidth="1"/>
    <col min="12039" max="12039" width="10.140625" style="394" customWidth="1"/>
    <col min="12040" max="12040" width="2" style="394" bestFit="1" customWidth="1"/>
    <col min="12041" max="12041" width="39.42578125" style="394" customWidth="1"/>
    <col min="12042" max="12288" width="9" style="394"/>
    <col min="12289" max="12289" width="7.42578125" style="394" bestFit="1" customWidth="1"/>
    <col min="12290" max="12290" width="37.42578125" style="394" customWidth="1"/>
    <col min="12291" max="12291" width="14.140625" style="394" customWidth="1"/>
    <col min="12292" max="12292" width="6.140625" style="394" customWidth="1"/>
    <col min="12293" max="12293" width="12.28515625" style="394" customWidth="1"/>
    <col min="12294" max="12294" width="15.42578125" style="394" customWidth="1"/>
    <col min="12295" max="12295" width="10.140625" style="394" customWidth="1"/>
    <col min="12296" max="12296" width="2" style="394" bestFit="1" customWidth="1"/>
    <col min="12297" max="12297" width="39.42578125" style="394" customWidth="1"/>
    <col min="12298" max="12544" width="9" style="394"/>
    <col min="12545" max="12545" width="7.42578125" style="394" bestFit="1" customWidth="1"/>
    <col min="12546" max="12546" width="37.42578125" style="394" customWidth="1"/>
    <col min="12547" max="12547" width="14.140625" style="394" customWidth="1"/>
    <col min="12548" max="12548" width="6.140625" style="394" customWidth="1"/>
    <col min="12549" max="12549" width="12.28515625" style="394" customWidth="1"/>
    <col min="12550" max="12550" width="15.42578125" style="394" customWidth="1"/>
    <col min="12551" max="12551" width="10.140625" style="394" customWidth="1"/>
    <col min="12552" max="12552" width="2" style="394" bestFit="1" customWidth="1"/>
    <col min="12553" max="12553" width="39.42578125" style="394" customWidth="1"/>
    <col min="12554" max="12800" width="9" style="394"/>
    <col min="12801" max="12801" width="7.42578125" style="394" bestFit="1" customWidth="1"/>
    <col min="12802" max="12802" width="37.42578125" style="394" customWidth="1"/>
    <col min="12803" max="12803" width="14.140625" style="394" customWidth="1"/>
    <col min="12804" max="12804" width="6.140625" style="394" customWidth="1"/>
    <col min="12805" max="12805" width="12.28515625" style="394" customWidth="1"/>
    <col min="12806" max="12806" width="15.42578125" style="394" customWidth="1"/>
    <col min="12807" max="12807" width="10.140625" style="394" customWidth="1"/>
    <col min="12808" max="12808" width="2" style="394" bestFit="1" customWidth="1"/>
    <col min="12809" max="12809" width="39.42578125" style="394" customWidth="1"/>
    <col min="12810" max="13056" width="9" style="394"/>
    <col min="13057" max="13057" width="7.42578125" style="394" bestFit="1" customWidth="1"/>
    <col min="13058" max="13058" width="37.42578125" style="394" customWidth="1"/>
    <col min="13059" max="13059" width="14.140625" style="394" customWidth="1"/>
    <col min="13060" max="13060" width="6.140625" style="394" customWidth="1"/>
    <col min="13061" max="13061" width="12.28515625" style="394" customWidth="1"/>
    <col min="13062" max="13062" width="15.42578125" style="394" customWidth="1"/>
    <col min="13063" max="13063" width="10.140625" style="394" customWidth="1"/>
    <col min="13064" max="13064" width="2" style="394" bestFit="1" customWidth="1"/>
    <col min="13065" max="13065" width="39.42578125" style="394" customWidth="1"/>
    <col min="13066" max="13312" width="9" style="394"/>
    <col min="13313" max="13313" width="7.42578125" style="394" bestFit="1" customWidth="1"/>
    <col min="13314" max="13314" width="37.42578125" style="394" customWidth="1"/>
    <col min="13315" max="13315" width="14.140625" style="394" customWidth="1"/>
    <col min="13316" max="13316" width="6.140625" style="394" customWidth="1"/>
    <col min="13317" max="13317" width="12.28515625" style="394" customWidth="1"/>
    <col min="13318" max="13318" width="15.42578125" style="394" customWidth="1"/>
    <col min="13319" max="13319" width="10.140625" style="394" customWidth="1"/>
    <col min="13320" max="13320" width="2" style="394" bestFit="1" customWidth="1"/>
    <col min="13321" max="13321" width="39.42578125" style="394" customWidth="1"/>
    <col min="13322" max="13568" width="9" style="394"/>
    <col min="13569" max="13569" width="7.42578125" style="394" bestFit="1" customWidth="1"/>
    <col min="13570" max="13570" width="37.42578125" style="394" customWidth="1"/>
    <col min="13571" max="13571" width="14.140625" style="394" customWidth="1"/>
    <col min="13572" max="13572" width="6.140625" style="394" customWidth="1"/>
    <col min="13573" max="13573" width="12.28515625" style="394" customWidth="1"/>
    <col min="13574" max="13574" width="15.42578125" style="394" customWidth="1"/>
    <col min="13575" max="13575" width="10.140625" style="394" customWidth="1"/>
    <col min="13576" max="13576" width="2" style="394" bestFit="1" customWidth="1"/>
    <col min="13577" max="13577" width="39.42578125" style="394" customWidth="1"/>
    <col min="13578" max="13824" width="9" style="394"/>
    <col min="13825" max="13825" width="7.42578125" style="394" bestFit="1" customWidth="1"/>
    <col min="13826" max="13826" width="37.42578125" style="394" customWidth="1"/>
    <col min="13827" max="13827" width="14.140625" style="394" customWidth="1"/>
    <col min="13828" max="13828" width="6.140625" style="394" customWidth="1"/>
    <col min="13829" max="13829" width="12.28515625" style="394" customWidth="1"/>
    <col min="13830" max="13830" width="15.42578125" style="394" customWidth="1"/>
    <col min="13831" max="13831" width="10.140625" style="394" customWidth="1"/>
    <col min="13832" max="13832" width="2" style="394" bestFit="1" customWidth="1"/>
    <col min="13833" max="13833" width="39.42578125" style="394" customWidth="1"/>
    <col min="13834" max="14080" width="9" style="394"/>
    <col min="14081" max="14081" width="7.42578125" style="394" bestFit="1" customWidth="1"/>
    <col min="14082" max="14082" width="37.42578125" style="394" customWidth="1"/>
    <col min="14083" max="14083" width="14.140625" style="394" customWidth="1"/>
    <col min="14084" max="14084" width="6.140625" style="394" customWidth="1"/>
    <col min="14085" max="14085" width="12.28515625" style="394" customWidth="1"/>
    <col min="14086" max="14086" width="15.42578125" style="394" customWidth="1"/>
    <col min="14087" max="14087" width="10.140625" style="394" customWidth="1"/>
    <col min="14088" max="14088" width="2" style="394" bestFit="1" customWidth="1"/>
    <col min="14089" max="14089" width="39.42578125" style="394" customWidth="1"/>
    <col min="14090" max="14336" width="9" style="394"/>
    <col min="14337" max="14337" width="7.42578125" style="394" bestFit="1" customWidth="1"/>
    <col min="14338" max="14338" width="37.42578125" style="394" customWidth="1"/>
    <col min="14339" max="14339" width="14.140625" style="394" customWidth="1"/>
    <col min="14340" max="14340" width="6.140625" style="394" customWidth="1"/>
    <col min="14341" max="14341" width="12.28515625" style="394" customWidth="1"/>
    <col min="14342" max="14342" width="15.42578125" style="394" customWidth="1"/>
    <col min="14343" max="14343" width="10.140625" style="394" customWidth="1"/>
    <col min="14344" max="14344" width="2" style="394" bestFit="1" customWidth="1"/>
    <col min="14345" max="14345" width="39.42578125" style="394" customWidth="1"/>
    <col min="14346" max="14592" width="9" style="394"/>
    <col min="14593" max="14593" width="7.42578125" style="394" bestFit="1" customWidth="1"/>
    <col min="14594" max="14594" width="37.42578125" style="394" customWidth="1"/>
    <col min="14595" max="14595" width="14.140625" style="394" customWidth="1"/>
    <col min="14596" max="14596" width="6.140625" style="394" customWidth="1"/>
    <col min="14597" max="14597" width="12.28515625" style="394" customWidth="1"/>
    <col min="14598" max="14598" width="15.42578125" style="394" customWidth="1"/>
    <col min="14599" max="14599" width="10.140625" style="394" customWidth="1"/>
    <col min="14600" max="14600" width="2" style="394" bestFit="1" customWidth="1"/>
    <col min="14601" max="14601" width="39.42578125" style="394" customWidth="1"/>
    <col min="14602" max="14848" width="9" style="394"/>
    <col min="14849" max="14849" width="7.42578125" style="394" bestFit="1" customWidth="1"/>
    <col min="14850" max="14850" width="37.42578125" style="394" customWidth="1"/>
    <col min="14851" max="14851" width="14.140625" style="394" customWidth="1"/>
    <col min="14852" max="14852" width="6.140625" style="394" customWidth="1"/>
    <col min="14853" max="14853" width="12.28515625" style="394" customWidth="1"/>
    <col min="14854" max="14854" width="15.42578125" style="394" customWidth="1"/>
    <col min="14855" max="14855" width="10.140625" style="394" customWidth="1"/>
    <col min="14856" max="14856" width="2" style="394" bestFit="1" customWidth="1"/>
    <col min="14857" max="14857" width="39.42578125" style="394" customWidth="1"/>
    <col min="14858" max="15104" width="9" style="394"/>
    <col min="15105" max="15105" width="7.42578125" style="394" bestFit="1" customWidth="1"/>
    <col min="15106" max="15106" width="37.42578125" style="394" customWidth="1"/>
    <col min="15107" max="15107" width="14.140625" style="394" customWidth="1"/>
    <col min="15108" max="15108" width="6.140625" style="394" customWidth="1"/>
    <col min="15109" max="15109" width="12.28515625" style="394" customWidth="1"/>
    <col min="15110" max="15110" width="15.42578125" style="394" customWidth="1"/>
    <col min="15111" max="15111" width="10.140625" style="394" customWidth="1"/>
    <col min="15112" max="15112" width="2" style="394" bestFit="1" customWidth="1"/>
    <col min="15113" max="15113" width="39.42578125" style="394" customWidth="1"/>
    <col min="15114" max="15360" width="9" style="394"/>
    <col min="15361" max="15361" width="7.42578125" style="394" bestFit="1" customWidth="1"/>
    <col min="15362" max="15362" width="37.42578125" style="394" customWidth="1"/>
    <col min="15363" max="15363" width="14.140625" style="394" customWidth="1"/>
    <col min="15364" max="15364" width="6.140625" style="394" customWidth="1"/>
    <col min="15365" max="15365" width="12.28515625" style="394" customWidth="1"/>
    <col min="15366" max="15366" width="15.42578125" style="394" customWidth="1"/>
    <col min="15367" max="15367" width="10.140625" style="394" customWidth="1"/>
    <col min="15368" max="15368" width="2" style="394" bestFit="1" customWidth="1"/>
    <col min="15369" max="15369" width="39.42578125" style="394" customWidth="1"/>
    <col min="15370" max="15616" width="9" style="394"/>
    <col min="15617" max="15617" width="7.42578125" style="394" bestFit="1" customWidth="1"/>
    <col min="15618" max="15618" width="37.42578125" style="394" customWidth="1"/>
    <col min="15619" max="15619" width="14.140625" style="394" customWidth="1"/>
    <col min="15620" max="15620" width="6.140625" style="394" customWidth="1"/>
    <col min="15621" max="15621" width="12.28515625" style="394" customWidth="1"/>
    <col min="15622" max="15622" width="15.42578125" style="394" customWidth="1"/>
    <col min="15623" max="15623" width="10.140625" style="394" customWidth="1"/>
    <col min="15624" max="15624" width="2" style="394" bestFit="1" customWidth="1"/>
    <col min="15625" max="15625" width="39.42578125" style="394" customWidth="1"/>
    <col min="15626" max="15872" width="9" style="394"/>
    <col min="15873" max="15873" width="7.42578125" style="394" bestFit="1" customWidth="1"/>
    <col min="15874" max="15874" width="37.42578125" style="394" customWidth="1"/>
    <col min="15875" max="15875" width="14.140625" style="394" customWidth="1"/>
    <col min="15876" max="15876" width="6.140625" style="394" customWidth="1"/>
    <col min="15877" max="15877" width="12.28515625" style="394" customWidth="1"/>
    <col min="15878" max="15878" width="15.42578125" style="394" customWidth="1"/>
    <col min="15879" max="15879" width="10.140625" style="394" customWidth="1"/>
    <col min="15880" max="15880" width="2" style="394" bestFit="1" customWidth="1"/>
    <col min="15881" max="15881" width="39.42578125" style="394" customWidth="1"/>
    <col min="15882" max="16128" width="9" style="394"/>
    <col min="16129" max="16129" width="7.42578125" style="394" bestFit="1" customWidth="1"/>
    <col min="16130" max="16130" width="37.42578125" style="394" customWidth="1"/>
    <col min="16131" max="16131" width="14.140625" style="394" customWidth="1"/>
    <col min="16132" max="16132" width="6.140625" style="394" customWidth="1"/>
    <col min="16133" max="16133" width="12.28515625" style="394" customWidth="1"/>
    <col min="16134" max="16134" width="15.42578125" style="394" customWidth="1"/>
    <col min="16135" max="16135" width="10.140625" style="394" customWidth="1"/>
    <col min="16136" max="16136" width="2" style="394" bestFit="1" customWidth="1"/>
    <col min="16137" max="16137" width="39.42578125" style="394" customWidth="1"/>
    <col min="16138" max="16384" width="9" style="394"/>
  </cols>
  <sheetData>
    <row r="1" spans="1:8" s="342" customFormat="1" ht="25.5">
      <c r="A1" s="337"/>
      <c r="B1" s="338" t="s">
        <v>241</v>
      </c>
      <c r="C1" s="463" t="s">
        <v>242</v>
      </c>
      <c r="D1" s="340" t="s">
        <v>243</v>
      </c>
      <c r="E1" s="339" t="s">
        <v>244</v>
      </c>
      <c r="F1" s="341" t="s">
        <v>245</v>
      </c>
    </row>
    <row r="2" spans="1:8" s="346" customFormat="1">
      <c r="A2" s="343"/>
      <c r="B2" s="344"/>
      <c r="C2" s="454"/>
      <c r="E2" s="345"/>
      <c r="F2" s="347"/>
    </row>
    <row r="3" spans="1:8" s="350" customFormat="1">
      <c r="A3" s="348" t="s">
        <v>179</v>
      </c>
      <c r="B3" s="349" t="s">
        <v>178</v>
      </c>
      <c r="C3" s="464"/>
      <c r="F3" s="351"/>
    </row>
    <row r="4" spans="1:8" s="352" customFormat="1">
      <c r="A4" s="343"/>
      <c r="B4" s="349"/>
      <c r="C4" s="465"/>
      <c r="F4" s="353"/>
    </row>
    <row r="5" spans="1:8" s="352" customFormat="1">
      <c r="A5" s="354" t="s">
        <v>246</v>
      </c>
      <c r="B5" s="355" t="s">
        <v>247</v>
      </c>
      <c r="C5" s="465"/>
      <c r="F5" s="353"/>
    </row>
    <row r="6" spans="1:8" s="346" customFormat="1">
      <c r="A6" s="343"/>
      <c r="B6" s="344"/>
      <c r="C6" s="466"/>
      <c r="F6" s="347"/>
    </row>
    <row r="7" spans="1:8" s="346" customFormat="1" ht="25.5">
      <c r="A7" s="343" t="s">
        <v>248</v>
      </c>
      <c r="B7" s="344" t="s">
        <v>249</v>
      </c>
      <c r="C7" s="466"/>
      <c r="F7" s="347"/>
    </row>
    <row r="8" spans="1:8" s="346" customFormat="1">
      <c r="A8" s="343"/>
      <c r="B8" s="344"/>
      <c r="C8" s="454">
        <v>4.5</v>
      </c>
      <c r="D8" s="346" t="s">
        <v>115</v>
      </c>
      <c r="E8" s="356"/>
      <c r="F8" s="357">
        <f>C8*E8</f>
        <v>0</v>
      </c>
      <c r="G8" s="345"/>
      <c r="H8" s="345"/>
    </row>
    <row r="9" spans="1:8" s="346" customFormat="1">
      <c r="A9" s="343"/>
      <c r="B9" s="344"/>
      <c r="C9" s="456"/>
      <c r="E9" s="356"/>
      <c r="F9" s="357"/>
      <c r="G9" s="345"/>
      <c r="H9" s="345"/>
    </row>
    <row r="10" spans="1:8" s="352" customFormat="1">
      <c r="A10" s="354" t="s">
        <v>246</v>
      </c>
      <c r="B10" s="355" t="s">
        <v>250</v>
      </c>
      <c r="C10" s="455"/>
      <c r="E10" s="360"/>
      <c r="F10" s="361">
        <f>SUM(F7:F9)</f>
        <v>0</v>
      </c>
      <c r="G10" s="345"/>
    </row>
    <row r="11" spans="1:8" s="352" customFormat="1">
      <c r="A11" s="354"/>
      <c r="B11" s="355"/>
      <c r="C11" s="455"/>
      <c r="E11" s="360"/>
      <c r="F11" s="361"/>
      <c r="G11" s="345"/>
    </row>
    <row r="12" spans="1:8" s="374" customFormat="1">
      <c r="A12" s="367"/>
      <c r="B12" s="368"/>
      <c r="C12" s="467"/>
      <c r="D12" s="370"/>
      <c r="E12" s="371"/>
      <c r="F12" s="372"/>
      <c r="G12" s="345"/>
      <c r="H12" s="373"/>
    </row>
    <row r="13" spans="1:8" s="350" customFormat="1">
      <c r="A13" s="348" t="s">
        <v>179</v>
      </c>
      <c r="B13" s="349" t="s">
        <v>257</v>
      </c>
      <c r="C13" s="468"/>
      <c r="E13" s="376"/>
      <c r="F13" s="377">
        <f>F10</f>
        <v>0</v>
      </c>
      <c r="G13" s="345"/>
    </row>
    <row r="14" spans="1:8" s="346" customFormat="1">
      <c r="A14" s="343"/>
      <c r="B14" s="378"/>
      <c r="C14" s="456"/>
      <c r="D14" s="379"/>
      <c r="E14" s="356"/>
      <c r="F14" s="380"/>
      <c r="G14" s="345"/>
      <c r="H14" s="345"/>
    </row>
    <row r="15" spans="1:8" s="350" customFormat="1">
      <c r="A15" s="348" t="s">
        <v>177</v>
      </c>
      <c r="B15" s="349" t="s">
        <v>176</v>
      </c>
      <c r="C15" s="468"/>
      <c r="E15" s="376"/>
      <c r="F15" s="377"/>
      <c r="G15" s="381"/>
    </row>
    <row r="16" spans="1:8" s="389" customFormat="1" ht="11.25">
      <c r="A16" s="382"/>
      <c r="B16" s="383"/>
      <c r="C16" s="469"/>
      <c r="D16" s="385"/>
      <c r="E16" s="386"/>
      <c r="F16" s="387"/>
      <c r="G16" s="381"/>
      <c r="H16" s="388"/>
    </row>
    <row r="17" spans="1:256" s="390" customFormat="1">
      <c r="A17" s="354" t="s">
        <v>258</v>
      </c>
      <c r="B17" s="355" t="s">
        <v>812</v>
      </c>
      <c r="C17" s="455"/>
      <c r="D17" s="352"/>
      <c r="E17" s="360"/>
      <c r="F17" s="361"/>
      <c r="G17" s="381"/>
      <c r="IV17" s="391"/>
    </row>
    <row r="18" spans="1:256" s="390" customFormat="1">
      <c r="A18" s="354"/>
      <c r="B18" s="355"/>
      <c r="C18" s="455"/>
      <c r="D18" s="352"/>
      <c r="E18" s="360"/>
      <c r="F18" s="361"/>
      <c r="G18" s="381"/>
      <c r="J18" s="390" t="s">
        <v>221</v>
      </c>
      <c r="K18" s="390" t="s">
        <v>222</v>
      </c>
      <c r="L18" s="390" t="s">
        <v>223</v>
      </c>
      <c r="M18" s="390" t="s">
        <v>224</v>
      </c>
      <c r="N18" s="390" t="s">
        <v>225</v>
      </c>
      <c r="O18" s="390" t="s">
        <v>226</v>
      </c>
      <c r="P18" s="390" t="s">
        <v>227</v>
      </c>
      <c r="Q18" s="390" t="s">
        <v>228</v>
      </c>
      <c r="R18" s="390" t="s">
        <v>229</v>
      </c>
      <c r="S18" s="390" t="s">
        <v>230</v>
      </c>
      <c r="T18" s="390" t="s">
        <v>231</v>
      </c>
      <c r="U18" s="390" t="s">
        <v>232</v>
      </c>
      <c r="V18" s="390" t="s">
        <v>233</v>
      </c>
      <c r="W18" s="390" t="s">
        <v>234</v>
      </c>
      <c r="X18" s="390" t="s">
        <v>235</v>
      </c>
      <c r="Y18" s="390" t="s">
        <v>236</v>
      </c>
      <c r="Z18" s="390" t="s">
        <v>237</v>
      </c>
      <c r="IV18" s="391"/>
    </row>
    <row r="19" spans="1:256" s="390" customFormat="1" ht="38.25">
      <c r="A19" s="392"/>
      <c r="B19" s="393" t="s">
        <v>260</v>
      </c>
      <c r="C19" s="456"/>
      <c r="D19" s="346"/>
      <c r="E19" s="356"/>
      <c r="F19" s="357"/>
      <c r="G19" s="381"/>
      <c r="J19" s="390" t="s">
        <v>314</v>
      </c>
      <c r="K19" s="430"/>
      <c r="L19" s="430">
        <v>0</v>
      </c>
      <c r="M19" s="430">
        <v>0</v>
      </c>
      <c r="N19" s="430">
        <v>0</v>
      </c>
      <c r="O19" s="430">
        <v>260.8</v>
      </c>
      <c r="P19" s="430">
        <v>244.78</v>
      </c>
      <c r="Q19" s="430">
        <v>16.02</v>
      </c>
      <c r="R19" s="430">
        <v>0</v>
      </c>
      <c r="S19" s="430">
        <v>0</v>
      </c>
      <c r="T19" s="430">
        <v>0</v>
      </c>
      <c r="U19" s="430">
        <v>260.14999999999998</v>
      </c>
      <c r="V19" s="430">
        <v>220.73</v>
      </c>
      <c r="W19" s="430">
        <v>0</v>
      </c>
      <c r="X19" s="430">
        <v>31.94</v>
      </c>
      <c r="Y19" s="430">
        <v>7.48</v>
      </c>
      <c r="Z19" s="430">
        <v>220.73</v>
      </c>
      <c r="IV19" s="391"/>
    </row>
    <row r="20" spans="1:256" s="390" customFormat="1">
      <c r="A20" s="364"/>
      <c r="B20" s="393" t="s">
        <v>261</v>
      </c>
      <c r="C20" s="454">
        <v>5.6</v>
      </c>
      <c r="D20" s="346"/>
      <c r="E20" s="356"/>
      <c r="F20" s="357"/>
      <c r="G20" s="381"/>
      <c r="J20" s="390" t="s">
        <v>305</v>
      </c>
      <c r="K20" s="430"/>
      <c r="L20" s="430">
        <v>0</v>
      </c>
      <c r="M20" s="430">
        <v>0</v>
      </c>
      <c r="N20" s="430">
        <v>0</v>
      </c>
      <c r="O20" s="430">
        <v>235.53</v>
      </c>
      <c r="P20" s="430">
        <v>219.5</v>
      </c>
      <c r="Q20" s="430">
        <v>16.02</v>
      </c>
      <c r="R20" s="430">
        <v>0</v>
      </c>
      <c r="S20" s="430">
        <v>0</v>
      </c>
      <c r="T20" s="430">
        <v>0</v>
      </c>
      <c r="U20" s="430">
        <v>234.89</v>
      </c>
      <c r="V20" s="430">
        <v>202.54</v>
      </c>
      <c r="W20" s="430">
        <v>0</v>
      </c>
      <c r="X20" s="430">
        <v>26.25</v>
      </c>
      <c r="Y20" s="430">
        <v>6.1</v>
      </c>
      <c r="Z20" s="430">
        <v>202.54</v>
      </c>
      <c r="IV20" s="391"/>
    </row>
    <row r="21" spans="1:256" s="390" customFormat="1">
      <c r="A21" s="364" t="s">
        <v>262</v>
      </c>
      <c r="B21" s="393" t="s">
        <v>263</v>
      </c>
      <c r="C21" s="454">
        <f>C20*0.8</f>
        <v>4.4799999999999995</v>
      </c>
      <c r="D21" s="394" t="s">
        <v>108</v>
      </c>
      <c r="E21" s="356"/>
      <c r="F21" s="357">
        <f>C21*E21</f>
        <v>0</v>
      </c>
      <c r="G21" s="381"/>
      <c r="J21" s="390" t="s">
        <v>307</v>
      </c>
      <c r="K21" s="430"/>
      <c r="L21" s="430">
        <v>0</v>
      </c>
      <c r="M21" s="430">
        <v>0</v>
      </c>
      <c r="N21" s="430">
        <v>0</v>
      </c>
      <c r="O21" s="430">
        <v>0</v>
      </c>
      <c r="P21" s="430">
        <v>0</v>
      </c>
      <c r="Q21" s="430">
        <v>0</v>
      </c>
      <c r="R21" s="430">
        <v>0</v>
      </c>
      <c r="S21" s="430">
        <v>0</v>
      </c>
      <c r="T21" s="430">
        <v>0</v>
      </c>
      <c r="U21" s="430">
        <v>0</v>
      </c>
      <c r="V21" s="430">
        <v>0</v>
      </c>
      <c r="W21" s="430">
        <v>0</v>
      </c>
      <c r="X21" s="430">
        <v>0</v>
      </c>
      <c r="Y21" s="430">
        <v>0</v>
      </c>
      <c r="Z21" s="430">
        <v>0</v>
      </c>
      <c r="IV21" s="391"/>
    </row>
    <row r="22" spans="1:256" s="390" customFormat="1">
      <c r="A22" s="364" t="s">
        <v>264</v>
      </c>
      <c r="B22" s="393" t="s">
        <v>265</v>
      </c>
      <c r="C22" s="454">
        <f>C20*0.2</f>
        <v>1.1199999999999999</v>
      </c>
      <c r="D22" s="394" t="s">
        <v>108</v>
      </c>
      <c r="E22" s="356"/>
      <c r="F22" s="357">
        <f>C22*E22</f>
        <v>0</v>
      </c>
      <c r="G22" s="381"/>
      <c r="J22" s="390" t="s">
        <v>309</v>
      </c>
      <c r="K22" s="430"/>
      <c r="L22" s="430">
        <v>0</v>
      </c>
      <c r="M22" s="430">
        <v>0</v>
      </c>
      <c r="N22" s="430">
        <v>0</v>
      </c>
      <c r="O22" s="430">
        <v>6.84</v>
      </c>
      <c r="P22" s="430">
        <v>6.84</v>
      </c>
      <c r="Q22" s="430">
        <v>0</v>
      </c>
      <c r="R22" s="430">
        <v>0</v>
      </c>
      <c r="S22" s="430">
        <v>0</v>
      </c>
      <c r="T22" s="430">
        <v>0</v>
      </c>
      <c r="U22" s="430">
        <v>6.83</v>
      </c>
      <c r="V22" s="430">
        <v>4.8899999999999997</v>
      </c>
      <c r="W22" s="430">
        <v>0</v>
      </c>
      <c r="X22" s="430">
        <v>1.57</v>
      </c>
      <c r="Y22" s="430">
        <v>0.38</v>
      </c>
      <c r="Z22" s="430">
        <v>4.8899999999999997</v>
      </c>
      <c r="IV22" s="391"/>
    </row>
    <row r="23" spans="1:256" s="390" customFormat="1">
      <c r="A23" s="364"/>
      <c r="B23" s="393"/>
      <c r="C23" s="454"/>
      <c r="D23" s="394"/>
      <c r="E23" s="356"/>
      <c r="F23" s="357"/>
      <c r="G23" s="381"/>
      <c r="J23" s="390" t="s">
        <v>310</v>
      </c>
      <c r="K23" s="430"/>
      <c r="L23" s="430">
        <v>0</v>
      </c>
      <c r="M23" s="430">
        <v>0</v>
      </c>
      <c r="N23" s="430">
        <v>0</v>
      </c>
      <c r="O23" s="430">
        <v>4.7</v>
      </c>
      <c r="P23" s="430">
        <v>4.7</v>
      </c>
      <c r="Q23" s="430">
        <v>0</v>
      </c>
      <c r="R23" s="430">
        <v>0</v>
      </c>
      <c r="S23" s="430">
        <v>0</v>
      </c>
      <c r="T23" s="430">
        <v>0</v>
      </c>
      <c r="U23" s="430">
        <v>4.7</v>
      </c>
      <c r="V23" s="430">
        <v>2.95</v>
      </c>
      <c r="W23" s="430">
        <v>0</v>
      </c>
      <c r="X23" s="430">
        <v>1.4</v>
      </c>
      <c r="Y23" s="430">
        <v>0.34</v>
      </c>
      <c r="Z23" s="430">
        <v>2.95</v>
      </c>
      <c r="IV23" s="391"/>
    </row>
    <row r="24" spans="1:256" s="390" customFormat="1">
      <c r="A24" s="364"/>
      <c r="B24" s="393"/>
      <c r="C24" s="454"/>
      <c r="D24" s="394"/>
      <c r="E24" s="356"/>
      <c r="F24" s="357"/>
      <c r="G24" s="381"/>
      <c r="J24" s="390" t="s">
        <v>311</v>
      </c>
      <c r="K24" s="430"/>
      <c r="L24" s="430">
        <v>0</v>
      </c>
      <c r="M24" s="430">
        <v>0</v>
      </c>
      <c r="N24" s="430">
        <v>0</v>
      </c>
      <c r="O24" s="430">
        <v>7.62</v>
      </c>
      <c r="P24" s="430">
        <v>7.62</v>
      </c>
      <c r="Q24" s="430">
        <v>0</v>
      </c>
      <c r="R24" s="430">
        <v>0</v>
      </c>
      <c r="S24" s="430">
        <v>0</v>
      </c>
      <c r="T24" s="430">
        <v>0</v>
      </c>
      <c r="U24" s="430">
        <v>7.62</v>
      </c>
      <c r="V24" s="430">
        <v>5.66</v>
      </c>
      <c r="W24" s="430">
        <v>0</v>
      </c>
      <c r="X24" s="430">
        <v>1.58</v>
      </c>
      <c r="Y24" s="430">
        <v>0.38</v>
      </c>
      <c r="Z24" s="430">
        <v>5.66</v>
      </c>
      <c r="IV24" s="391"/>
    </row>
    <row r="25" spans="1:256" s="390" customFormat="1">
      <c r="A25" s="392"/>
      <c r="B25" s="393"/>
      <c r="C25" s="456"/>
      <c r="D25" s="346"/>
      <c r="E25" s="356"/>
      <c r="F25" s="357"/>
      <c r="G25" s="381"/>
      <c r="J25" s="390" t="s">
        <v>312</v>
      </c>
      <c r="K25" s="430"/>
      <c r="L25" s="430">
        <v>0</v>
      </c>
      <c r="M25" s="430">
        <v>0</v>
      </c>
      <c r="N25" s="430">
        <v>0</v>
      </c>
      <c r="O25" s="430">
        <v>6.12</v>
      </c>
      <c r="P25" s="430">
        <v>6.12</v>
      </c>
      <c r="Q25" s="430">
        <v>0</v>
      </c>
      <c r="R25" s="430">
        <v>0</v>
      </c>
      <c r="S25" s="430">
        <v>0</v>
      </c>
      <c r="T25" s="430">
        <v>0</v>
      </c>
      <c r="U25" s="430">
        <v>6.12</v>
      </c>
      <c r="V25" s="430">
        <v>4.7</v>
      </c>
      <c r="W25" s="430">
        <v>0</v>
      </c>
      <c r="X25" s="430">
        <v>1.1399999999999999</v>
      </c>
      <c r="Y25" s="430">
        <v>0.28000000000000003</v>
      </c>
      <c r="Z25" s="430">
        <v>4.7</v>
      </c>
      <c r="IV25" s="391"/>
    </row>
    <row r="26" spans="1:256" s="390" customFormat="1">
      <c r="A26" s="364"/>
      <c r="B26" s="393"/>
      <c r="C26" s="454"/>
      <c r="D26" s="346"/>
      <c r="E26" s="356"/>
      <c r="F26" s="357"/>
      <c r="G26" s="381"/>
      <c r="J26" s="390" t="s">
        <v>313</v>
      </c>
      <c r="K26" s="430"/>
      <c r="L26" s="430">
        <v>0</v>
      </c>
      <c r="M26" s="430">
        <v>0</v>
      </c>
      <c r="N26" s="430">
        <v>0</v>
      </c>
      <c r="O26" s="430">
        <v>0</v>
      </c>
      <c r="P26" s="430">
        <v>0</v>
      </c>
      <c r="Q26" s="430">
        <v>0</v>
      </c>
      <c r="R26" s="430">
        <v>0</v>
      </c>
      <c r="S26" s="430">
        <v>0</v>
      </c>
      <c r="T26" s="430">
        <v>0</v>
      </c>
      <c r="U26" s="430">
        <v>0</v>
      </c>
      <c r="V26" s="430">
        <v>0</v>
      </c>
      <c r="W26" s="430">
        <v>0</v>
      </c>
      <c r="X26" s="430">
        <v>0</v>
      </c>
      <c r="Y26" s="430">
        <v>0</v>
      </c>
      <c r="Z26" s="430">
        <v>0</v>
      </c>
      <c r="IV26" s="391"/>
    </row>
    <row r="27" spans="1:256" s="390" customFormat="1">
      <c r="A27" s="364"/>
      <c r="B27" s="393"/>
      <c r="C27" s="454"/>
      <c r="D27" s="394"/>
      <c r="E27" s="356"/>
      <c r="F27" s="357"/>
      <c r="G27" s="381"/>
      <c r="L27" s="390">
        <f>SUM(L19:L26)</f>
        <v>0</v>
      </c>
      <c r="M27" s="390">
        <f t="shared" ref="M27:Z27" si="0">SUM(M19:M26)</f>
        <v>0</v>
      </c>
      <c r="N27" s="390">
        <f t="shared" si="0"/>
        <v>0</v>
      </c>
      <c r="O27" s="390">
        <f t="shared" si="0"/>
        <v>521.61</v>
      </c>
      <c r="P27" s="390">
        <f t="shared" si="0"/>
        <v>489.55999999999995</v>
      </c>
      <c r="Q27" s="390">
        <f t="shared" si="0"/>
        <v>32.04</v>
      </c>
      <c r="R27" s="390">
        <f t="shared" si="0"/>
        <v>0</v>
      </c>
      <c r="S27" s="390">
        <f t="shared" si="0"/>
        <v>0</v>
      </c>
      <c r="T27" s="390">
        <f t="shared" si="0"/>
        <v>0</v>
      </c>
      <c r="U27" s="390">
        <f t="shared" si="0"/>
        <v>520.30999999999995</v>
      </c>
      <c r="V27" s="390">
        <f t="shared" si="0"/>
        <v>441.46999999999997</v>
      </c>
      <c r="W27" s="390">
        <f t="shared" si="0"/>
        <v>0</v>
      </c>
      <c r="X27" s="390">
        <f t="shared" si="0"/>
        <v>63.879999999999995</v>
      </c>
      <c r="Y27" s="390">
        <f t="shared" si="0"/>
        <v>14.96</v>
      </c>
      <c r="Z27" s="390">
        <f t="shared" si="0"/>
        <v>441.46999999999997</v>
      </c>
      <c r="IV27" s="391"/>
    </row>
    <row r="28" spans="1:256" s="389" customFormat="1">
      <c r="A28" s="354" t="s">
        <v>258</v>
      </c>
      <c r="B28" s="355" t="s">
        <v>266</v>
      </c>
      <c r="C28" s="455"/>
      <c r="D28" s="352"/>
      <c r="E28" s="360"/>
      <c r="F28" s="361">
        <f>SUM(F18:F27)</f>
        <v>0</v>
      </c>
      <c r="G28" s="381"/>
      <c r="H28" s="390"/>
    </row>
    <row r="29" spans="1:256" s="389" customFormat="1">
      <c r="A29" s="395"/>
      <c r="B29" s="396"/>
      <c r="C29" s="457"/>
      <c r="D29" s="394"/>
      <c r="E29" s="398"/>
      <c r="F29" s="399"/>
      <c r="G29" s="381"/>
      <c r="H29" s="388"/>
    </row>
    <row r="30" spans="1:256" s="390" customFormat="1">
      <c r="A30" s="354" t="s">
        <v>267</v>
      </c>
      <c r="B30" s="355" t="s">
        <v>268</v>
      </c>
      <c r="C30" s="455"/>
      <c r="D30" s="352"/>
      <c r="E30" s="360"/>
      <c r="F30" s="361"/>
      <c r="G30" s="381"/>
      <c r="IV30" s="391"/>
    </row>
    <row r="31" spans="1:256" s="390" customFormat="1">
      <c r="A31" s="354"/>
      <c r="B31" s="355"/>
      <c r="C31" s="455"/>
      <c r="D31" s="352"/>
      <c r="E31" s="360"/>
      <c r="F31" s="361"/>
      <c r="G31" s="381"/>
      <c r="I31" s="390" t="s">
        <v>221</v>
      </c>
      <c r="J31" s="390" t="s">
        <v>222</v>
      </c>
      <c r="K31" s="390" t="s">
        <v>223</v>
      </c>
      <c r="L31" s="390" t="s">
        <v>224</v>
      </c>
      <c r="M31" s="390" t="s">
        <v>225</v>
      </c>
      <c r="N31" s="390" t="s">
        <v>226</v>
      </c>
      <c r="O31" s="390" t="s">
        <v>227</v>
      </c>
      <c r="P31" s="390" t="s">
        <v>228</v>
      </c>
      <c r="Q31" s="390" t="s">
        <v>229</v>
      </c>
      <c r="R31" s="390" t="s">
        <v>230</v>
      </c>
      <c r="S31" s="390" t="s">
        <v>231</v>
      </c>
      <c r="T31" s="390" t="s">
        <v>232</v>
      </c>
      <c r="U31" s="390" t="s">
        <v>233</v>
      </c>
      <c r="V31" s="390" t="s">
        <v>234</v>
      </c>
      <c r="W31" s="390" t="s">
        <v>235</v>
      </c>
      <c r="X31" s="390" t="s">
        <v>236</v>
      </c>
      <c r="Y31" s="390" t="s">
        <v>237</v>
      </c>
      <c r="IV31" s="391"/>
    </row>
    <row r="32" spans="1:256" s="390" customFormat="1" ht="38.25">
      <c r="A32" s="364" t="s">
        <v>269</v>
      </c>
      <c r="B32" s="393" t="s">
        <v>471</v>
      </c>
      <c r="C32" s="456"/>
      <c r="D32" s="346"/>
      <c r="E32" s="400"/>
      <c r="F32" s="401"/>
      <c r="G32" s="381"/>
      <c r="I32" s="390" t="s">
        <v>489</v>
      </c>
      <c r="K32" s="390">
        <v>0</v>
      </c>
      <c r="L32" s="390">
        <v>0.33</v>
      </c>
      <c r="M32" s="390">
        <v>0</v>
      </c>
      <c r="N32" s="390">
        <v>5.61</v>
      </c>
      <c r="O32" s="390">
        <v>5.61</v>
      </c>
      <c r="P32" s="390">
        <v>0</v>
      </c>
      <c r="Q32" s="390">
        <v>0</v>
      </c>
      <c r="R32" s="390">
        <v>0</v>
      </c>
      <c r="S32" s="390">
        <v>0</v>
      </c>
      <c r="T32" s="390">
        <v>5.59</v>
      </c>
      <c r="U32" s="390">
        <v>3.12</v>
      </c>
      <c r="V32" s="390">
        <v>1.22</v>
      </c>
      <c r="W32" s="390">
        <v>1.01</v>
      </c>
      <c r="X32" s="390">
        <v>0.24</v>
      </c>
      <c r="Y32" s="390">
        <v>3.12</v>
      </c>
      <c r="IV32" s="391"/>
    </row>
    <row r="33" spans="1:256" s="390" customFormat="1">
      <c r="A33" s="402"/>
      <c r="B33" s="393"/>
      <c r="C33" s="454">
        <v>4</v>
      </c>
      <c r="D33" s="346" t="s">
        <v>105</v>
      </c>
      <c r="E33" s="356"/>
      <c r="F33" s="357">
        <f>C33*E33</f>
        <v>0</v>
      </c>
      <c r="G33" s="381"/>
      <c r="IV33" s="391"/>
    </row>
    <row r="34" spans="1:256" s="390" customFormat="1">
      <c r="A34" s="402"/>
      <c r="B34" s="393"/>
      <c r="C34" s="454"/>
      <c r="D34" s="346"/>
      <c r="E34" s="356"/>
      <c r="F34" s="357"/>
      <c r="G34" s="381"/>
      <c r="IV34" s="391"/>
    </row>
    <row r="35" spans="1:256" s="390" customFormat="1" ht="63.75">
      <c r="A35" s="364" t="s">
        <v>270</v>
      </c>
      <c r="B35" s="393" t="s">
        <v>271</v>
      </c>
      <c r="C35" s="454"/>
      <c r="D35" s="346"/>
      <c r="E35" s="400"/>
      <c r="F35" s="401"/>
      <c r="G35" s="381"/>
      <c r="IV35" s="391"/>
    </row>
    <row r="36" spans="1:256" s="390" customFormat="1">
      <c r="A36" s="402"/>
      <c r="B36" s="393"/>
      <c r="C36" s="454">
        <f>X32</f>
        <v>0.24</v>
      </c>
      <c r="D36" s="346" t="s">
        <v>108</v>
      </c>
      <c r="E36" s="356"/>
      <c r="F36" s="357">
        <f>C36*E36</f>
        <v>0</v>
      </c>
      <c r="G36" s="381"/>
      <c r="IV36" s="391"/>
    </row>
    <row r="37" spans="1:256" s="390" customFormat="1">
      <c r="A37" s="402"/>
      <c r="B37" s="393"/>
      <c r="C37" s="456"/>
      <c r="D37" s="346"/>
      <c r="E37" s="356"/>
      <c r="F37" s="357"/>
      <c r="G37" s="381"/>
      <c r="IV37" s="391"/>
    </row>
    <row r="38" spans="1:256" s="390" customFormat="1" ht="89.25">
      <c r="A38" s="364" t="s">
        <v>272</v>
      </c>
      <c r="B38" s="393" t="s">
        <v>273</v>
      </c>
      <c r="C38" s="456"/>
      <c r="D38" s="346"/>
      <c r="E38" s="400"/>
      <c r="F38" s="401"/>
      <c r="G38" s="381"/>
      <c r="IV38" s="391"/>
    </row>
    <row r="39" spans="1:256" s="390" customFormat="1">
      <c r="A39" s="402"/>
      <c r="B39" s="393"/>
      <c r="C39" s="454">
        <f>W32</f>
        <v>1.01</v>
      </c>
      <c r="D39" s="346" t="s">
        <v>108</v>
      </c>
      <c r="E39" s="356"/>
      <c r="F39" s="357">
        <f>C39*E39</f>
        <v>0</v>
      </c>
      <c r="G39" s="381"/>
      <c r="IV39" s="391"/>
    </row>
    <row r="40" spans="1:256" s="390" customFormat="1">
      <c r="A40" s="402"/>
      <c r="B40" s="393"/>
      <c r="C40" s="454"/>
      <c r="D40" s="346"/>
      <c r="E40" s="356"/>
      <c r="F40" s="357"/>
      <c r="G40" s="381"/>
      <c r="IV40" s="391"/>
    </row>
    <row r="41" spans="1:256" s="390" customFormat="1" ht="76.5">
      <c r="A41" s="364" t="s">
        <v>274</v>
      </c>
      <c r="B41" s="393" t="s">
        <v>275</v>
      </c>
      <c r="C41" s="454"/>
      <c r="D41" s="346"/>
      <c r="E41" s="400"/>
      <c r="F41" s="401"/>
      <c r="G41" s="381"/>
      <c r="IV41" s="391"/>
    </row>
    <row r="42" spans="1:256" s="390" customFormat="1">
      <c r="A42" s="402"/>
      <c r="B42" s="393"/>
      <c r="C42" s="454">
        <v>3.12</v>
      </c>
      <c r="D42" s="346" t="s">
        <v>108</v>
      </c>
      <c r="E42" s="356"/>
      <c r="F42" s="357">
        <f>C42*E42</f>
        <v>0</v>
      </c>
      <c r="G42" s="381"/>
      <c r="IV42" s="391"/>
    </row>
    <row r="43" spans="1:256" s="390" customFormat="1">
      <c r="A43" s="402"/>
      <c r="B43" s="393"/>
      <c r="C43" s="454"/>
      <c r="D43" s="346"/>
      <c r="E43" s="356"/>
      <c r="F43" s="357"/>
      <c r="G43" s="381"/>
      <c r="IV43" s="391"/>
    </row>
    <row r="44" spans="1:256" s="390" customFormat="1" ht="38.25">
      <c r="A44" s="364" t="s">
        <v>276</v>
      </c>
      <c r="B44" s="362" t="s">
        <v>277</v>
      </c>
      <c r="C44" s="454"/>
      <c r="D44" s="346"/>
      <c r="E44" s="365"/>
      <c r="F44" s="366"/>
      <c r="G44" s="381"/>
      <c r="IV44" s="391"/>
    </row>
    <row r="45" spans="1:256" s="390" customFormat="1">
      <c r="A45" s="364"/>
      <c r="B45" s="362"/>
      <c r="C45" s="454">
        <v>0</v>
      </c>
      <c r="D45" s="346" t="s">
        <v>105</v>
      </c>
      <c r="E45" s="365"/>
      <c r="F45" s="366">
        <f>C45*E45</f>
        <v>0</v>
      </c>
      <c r="G45" s="381"/>
      <c r="IV45" s="391"/>
    </row>
    <row r="46" spans="1:256" s="390" customFormat="1">
      <c r="A46" s="364"/>
      <c r="B46" s="362"/>
      <c r="C46" s="454"/>
      <c r="D46" s="346"/>
      <c r="E46" s="365"/>
      <c r="F46" s="366"/>
      <c r="G46" s="381"/>
      <c r="IV46" s="391"/>
    </row>
    <row r="47" spans="1:256" s="389" customFormat="1" ht="51">
      <c r="A47" s="364" t="s">
        <v>278</v>
      </c>
      <c r="B47" s="393" t="s">
        <v>279</v>
      </c>
      <c r="C47" s="454"/>
      <c r="D47" s="346"/>
      <c r="E47" s="400"/>
      <c r="F47" s="401"/>
      <c r="G47" s="381"/>
      <c r="H47" s="381"/>
    </row>
    <row r="48" spans="1:256" s="389" customFormat="1">
      <c r="A48" s="402"/>
      <c r="B48" s="393"/>
      <c r="C48" s="454">
        <f>(C20+C26-C42)*1.4</f>
        <v>3.4719999999999991</v>
      </c>
      <c r="D48" s="346" t="s">
        <v>108</v>
      </c>
      <c r="E48" s="356"/>
      <c r="F48" s="357">
        <f>C48*E48</f>
        <v>0</v>
      </c>
      <c r="G48" s="381"/>
      <c r="H48" s="381"/>
    </row>
    <row r="49" spans="1:8" s="389" customFormat="1">
      <c r="A49" s="402"/>
      <c r="B49" s="393"/>
      <c r="C49" s="454"/>
      <c r="D49" s="346"/>
      <c r="E49" s="356"/>
      <c r="F49" s="357"/>
      <c r="G49" s="381"/>
      <c r="H49" s="388"/>
    </row>
    <row r="50" spans="1:8" s="389" customFormat="1">
      <c r="A50" s="364" t="s">
        <v>280</v>
      </c>
      <c r="B50" s="393" t="s">
        <v>281</v>
      </c>
      <c r="C50" s="454"/>
      <c r="D50" s="346"/>
      <c r="E50" s="400"/>
      <c r="F50" s="401"/>
      <c r="G50" s="381"/>
      <c r="H50" s="388"/>
    </row>
    <row r="51" spans="1:8" s="389" customFormat="1">
      <c r="A51" s="402"/>
      <c r="B51" s="393"/>
      <c r="C51" s="454">
        <v>5</v>
      </c>
      <c r="D51" s="346" t="s">
        <v>71</v>
      </c>
      <c r="E51" s="356"/>
      <c r="F51" s="357">
        <f>C51*E51</f>
        <v>0</v>
      </c>
      <c r="G51" s="381"/>
      <c r="H51" s="388"/>
    </row>
    <row r="52" spans="1:8" s="389" customFormat="1">
      <c r="A52" s="402"/>
      <c r="B52" s="393"/>
      <c r="C52" s="456"/>
      <c r="D52" s="346"/>
      <c r="E52" s="356"/>
      <c r="F52" s="357"/>
      <c r="G52" s="381"/>
      <c r="H52" s="388"/>
    </row>
    <row r="53" spans="1:8" s="389" customFormat="1">
      <c r="A53" s="354" t="s">
        <v>267</v>
      </c>
      <c r="B53" s="355" t="s">
        <v>282</v>
      </c>
      <c r="C53" s="455"/>
      <c r="D53" s="352"/>
      <c r="E53" s="360"/>
      <c r="F53" s="361">
        <f>SUM(F32:F51)</f>
        <v>0</v>
      </c>
      <c r="G53" s="381"/>
      <c r="H53" s="390"/>
    </row>
    <row r="54" spans="1:8" s="389" customFormat="1">
      <c r="A54" s="354"/>
      <c r="B54" s="355"/>
      <c r="C54" s="455"/>
      <c r="D54" s="352"/>
      <c r="E54" s="360"/>
      <c r="F54" s="361"/>
      <c r="G54" s="381"/>
      <c r="H54" s="390"/>
    </row>
    <row r="55" spans="1:8" s="389" customFormat="1" ht="38.25">
      <c r="A55" s="364" t="s">
        <v>283</v>
      </c>
      <c r="B55" s="393" t="s">
        <v>284</v>
      </c>
      <c r="C55" s="456"/>
      <c r="D55" s="394"/>
      <c r="E55" s="356"/>
      <c r="F55" s="357"/>
      <c r="G55" s="381"/>
      <c r="H55" s="388"/>
    </row>
    <row r="56" spans="1:8" s="389" customFormat="1">
      <c r="A56" s="395"/>
      <c r="B56" s="396"/>
      <c r="C56" s="470"/>
      <c r="D56" s="394"/>
      <c r="E56" s="404"/>
      <c r="F56" s="715">
        <f>SUM(F53,F28)*0.05</f>
        <v>0</v>
      </c>
      <c r="G56" s="381"/>
      <c r="H56" s="388"/>
    </row>
    <row r="57" spans="1:8" s="389" customFormat="1">
      <c r="A57" s="354"/>
      <c r="B57" s="355"/>
      <c r="C57" s="455"/>
      <c r="D57" s="352"/>
      <c r="E57" s="360"/>
      <c r="F57" s="361"/>
      <c r="G57" s="381"/>
      <c r="H57" s="390"/>
    </row>
    <row r="58" spans="1:8" s="350" customFormat="1">
      <c r="A58" s="348" t="s">
        <v>177</v>
      </c>
      <c r="B58" s="349" t="s">
        <v>285</v>
      </c>
      <c r="C58" s="468"/>
      <c r="E58" s="376"/>
      <c r="F58" s="377">
        <f>F56+F53+F28</f>
        <v>0</v>
      </c>
      <c r="G58" s="345"/>
    </row>
    <row r="59" spans="1:8" s="350" customFormat="1">
      <c r="A59" s="348"/>
      <c r="B59" s="349"/>
      <c r="C59" s="468"/>
      <c r="E59" s="376"/>
      <c r="F59" s="377"/>
      <c r="G59" s="345"/>
    </row>
    <row r="60" spans="1:8" s="407" customFormat="1">
      <c r="A60" s="348" t="s">
        <v>175</v>
      </c>
      <c r="B60" s="349" t="s">
        <v>286</v>
      </c>
      <c r="C60" s="468"/>
      <c r="D60" s="350"/>
      <c r="E60" s="376"/>
      <c r="F60" s="377"/>
    </row>
    <row r="61" spans="1:8" s="407" customFormat="1">
      <c r="A61" s="392"/>
      <c r="B61" s="393"/>
      <c r="C61" s="456"/>
      <c r="D61" s="346"/>
      <c r="E61" s="356"/>
      <c r="F61" s="357"/>
    </row>
    <row r="62" spans="1:8" s="407" customFormat="1" ht="38.25">
      <c r="A62" s="364" t="s">
        <v>291</v>
      </c>
      <c r="B62" s="393" t="s">
        <v>290</v>
      </c>
      <c r="C62" s="456"/>
      <c r="D62" s="346"/>
      <c r="E62" s="356"/>
      <c r="F62" s="357"/>
    </row>
    <row r="63" spans="1:8" s="407" customFormat="1">
      <c r="A63" s="392"/>
      <c r="B63" s="393"/>
      <c r="C63" s="454">
        <v>2</v>
      </c>
      <c r="D63" s="346" t="s">
        <v>190</v>
      </c>
      <c r="E63" s="356"/>
      <c r="F63" s="357">
        <f>C63*E63</f>
        <v>0</v>
      </c>
    </row>
    <row r="64" spans="1:8" s="407" customFormat="1">
      <c r="A64" s="392"/>
      <c r="B64" s="393"/>
      <c r="C64" s="456"/>
      <c r="D64" s="346"/>
      <c r="E64" s="356"/>
      <c r="F64" s="357"/>
    </row>
    <row r="65" spans="1:15" s="350" customFormat="1" ht="38.25">
      <c r="A65" s="364" t="s">
        <v>329</v>
      </c>
      <c r="B65" s="393" t="s">
        <v>292</v>
      </c>
      <c r="C65" s="456"/>
      <c r="D65" s="346"/>
      <c r="E65" s="356"/>
      <c r="F65" s="357"/>
      <c r="G65" s="345"/>
    </row>
    <row r="66" spans="1:15" s="350" customFormat="1">
      <c r="A66" s="413"/>
      <c r="B66" s="393"/>
      <c r="C66" s="454">
        <v>6</v>
      </c>
      <c r="D66" s="346" t="s">
        <v>105</v>
      </c>
      <c r="E66" s="356"/>
      <c r="F66" s="357">
        <f>C66*E66</f>
        <v>0</v>
      </c>
      <c r="G66" s="381"/>
      <c r="I66" s="346"/>
      <c r="J66" s="346"/>
      <c r="K66" s="346"/>
      <c r="L66" s="346"/>
    </row>
    <row r="67" spans="1:15" s="389" customFormat="1">
      <c r="A67" s="413"/>
      <c r="B67" s="393"/>
      <c r="C67" s="454"/>
      <c r="D67" s="346"/>
      <c r="E67" s="356"/>
      <c r="F67" s="357"/>
      <c r="G67" s="381"/>
      <c r="H67" s="381"/>
      <c r="I67" s="346"/>
      <c r="J67" s="346"/>
      <c r="K67" s="346"/>
      <c r="L67" s="346"/>
    </row>
    <row r="68" spans="1:15" s="389" customFormat="1">
      <c r="A68" s="348" t="s">
        <v>175</v>
      </c>
      <c r="B68" s="349" t="s">
        <v>293</v>
      </c>
      <c r="C68" s="464"/>
      <c r="D68" s="350"/>
      <c r="E68" s="376"/>
      <c r="F68" s="377">
        <f>SUM(F61:F67)</f>
        <v>0</v>
      </c>
      <c r="G68" s="381"/>
      <c r="H68" s="390"/>
      <c r="I68" s="346"/>
      <c r="J68" s="346"/>
      <c r="K68" s="346"/>
      <c r="L68" s="346"/>
    </row>
    <row r="69" spans="1:15" s="389" customFormat="1">
      <c r="A69" s="348"/>
      <c r="B69" s="349"/>
      <c r="C69" s="464"/>
      <c r="D69" s="350"/>
      <c r="E69" s="376"/>
      <c r="F69" s="377"/>
      <c r="G69" s="381"/>
      <c r="H69" s="390"/>
      <c r="I69" s="352"/>
      <c r="J69" s="352"/>
      <c r="K69" s="352"/>
      <c r="L69" s="352"/>
    </row>
    <row r="70" spans="1:15" s="389" customFormat="1">
      <c r="A70" s="348" t="s">
        <v>185</v>
      </c>
      <c r="B70" s="349" t="s">
        <v>294</v>
      </c>
      <c r="C70" s="464"/>
      <c r="D70" s="350"/>
      <c r="E70" s="376"/>
      <c r="F70" s="377"/>
      <c r="G70" s="381"/>
      <c r="H70" s="390"/>
      <c r="I70" s="352"/>
      <c r="J70" s="352"/>
      <c r="K70" s="352"/>
      <c r="L70" s="352"/>
    </row>
    <row r="71" spans="1:15" s="389" customFormat="1" ht="2.25" customHeight="1">
      <c r="A71" s="402"/>
      <c r="B71" s="393"/>
      <c r="C71" s="454"/>
      <c r="D71" s="346"/>
      <c r="E71" s="356"/>
      <c r="F71" s="357"/>
      <c r="G71" s="381"/>
      <c r="H71" s="390"/>
      <c r="I71" s="352"/>
      <c r="J71" s="352"/>
      <c r="K71" s="352"/>
      <c r="L71" s="352"/>
    </row>
    <row r="72" spans="1:15" s="389" customFormat="1" ht="2.25" customHeight="1">
      <c r="A72" s="392"/>
      <c r="B72" s="393"/>
      <c r="C72" s="454"/>
      <c r="D72" s="346"/>
      <c r="E72" s="400"/>
      <c r="F72" s="401"/>
      <c r="G72" s="381"/>
      <c r="I72" s="346"/>
      <c r="J72" s="346"/>
      <c r="K72" s="346"/>
      <c r="L72" s="346"/>
    </row>
    <row r="73" spans="1:15" s="389" customFormat="1">
      <c r="A73" s="364"/>
      <c r="B73" s="393"/>
      <c r="C73" s="454"/>
      <c r="D73" s="346"/>
      <c r="E73" s="356"/>
      <c r="F73" s="357"/>
      <c r="G73" s="381"/>
      <c r="I73" s="346"/>
      <c r="J73" s="346"/>
      <c r="K73" s="346"/>
      <c r="L73" s="346"/>
    </row>
    <row r="74" spans="1:15" s="389" customFormat="1" ht="8.25" customHeight="1">
      <c r="A74" s="402"/>
      <c r="B74" s="393"/>
      <c r="C74" s="454"/>
      <c r="D74" s="346"/>
      <c r="E74" s="356"/>
      <c r="F74" s="357"/>
      <c r="G74" s="381"/>
      <c r="H74" s="415"/>
      <c r="I74" s="346" t="s">
        <v>221</v>
      </c>
      <c r="J74" s="346" t="s">
        <v>238</v>
      </c>
      <c r="K74" s="346" t="s">
        <v>239</v>
      </c>
      <c r="L74" s="346"/>
      <c r="M74" s="389" t="s">
        <v>221</v>
      </c>
      <c r="N74" s="389" t="s">
        <v>238</v>
      </c>
      <c r="O74" s="389" t="s">
        <v>239</v>
      </c>
    </row>
    <row r="75" spans="1:15" s="389" customFormat="1">
      <c r="A75" s="392"/>
      <c r="B75" s="393"/>
      <c r="C75" s="454"/>
      <c r="D75" s="346"/>
      <c r="E75" s="400"/>
      <c r="F75" s="401"/>
      <c r="G75" s="381"/>
      <c r="H75" s="415"/>
      <c r="I75" s="346" t="s">
        <v>306</v>
      </c>
      <c r="J75" s="346">
        <v>100</v>
      </c>
      <c r="K75" s="346">
        <v>0</v>
      </c>
      <c r="L75" s="346"/>
      <c r="M75" s="389" t="s">
        <v>306</v>
      </c>
      <c r="N75" s="389">
        <v>100</v>
      </c>
      <c r="O75" s="389">
        <v>31.38</v>
      </c>
    </row>
    <row r="76" spans="1:15" s="389" customFormat="1">
      <c r="A76" s="364"/>
      <c r="B76" s="393"/>
      <c r="C76" s="454"/>
      <c r="D76" s="346"/>
      <c r="E76" s="356"/>
      <c r="F76" s="357"/>
      <c r="G76" s="381"/>
      <c r="H76" s="415"/>
      <c r="I76" s="346" t="s">
        <v>221</v>
      </c>
      <c r="J76" s="346" t="s">
        <v>238</v>
      </c>
      <c r="K76" s="346" t="s">
        <v>239</v>
      </c>
      <c r="L76" s="346"/>
      <c r="M76" s="389" t="s">
        <v>308</v>
      </c>
      <c r="N76" s="389">
        <v>80</v>
      </c>
      <c r="O76" s="389">
        <v>21.05</v>
      </c>
    </row>
    <row r="77" spans="1:15" s="389" customFormat="1" ht="5.25" customHeight="1">
      <c r="A77" s="364"/>
      <c r="B77" s="393"/>
      <c r="C77" s="454"/>
      <c r="D77" s="346"/>
      <c r="E77" s="356"/>
      <c r="F77" s="357"/>
      <c r="G77" s="381"/>
      <c r="H77" s="415"/>
      <c r="I77" s="346" t="s">
        <v>308</v>
      </c>
      <c r="J77" s="346">
        <v>80</v>
      </c>
      <c r="K77" s="346">
        <v>2.97</v>
      </c>
      <c r="L77" s="346"/>
    </row>
    <row r="78" spans="1:15" s="389" customFormat="1">
      <c r="A78" s="392"/>
      <c r="B78" s="393"/>
      <c r="C78" s="454"/>
      <c r="D78" s="346"/>
      <c r="E78" s="400"/>
      <c r="F78" s="401"/>
      <c r="G78" s="381"/>
      <c r="H78" s="390"/>
      <c r="I78" s="346"/>
      <c r="J78" s="346"/>
      <c r="K78" s="346"/>
      <c r="L78" s="346"/>
    </row>
    <row r="79" spans="1:15" s="389" customFormat="1">
      <c r="A79" s="364" t="s">
        <v>297</v>
      </c>
      <c r="B79" s="393" t="s">
        <v>308</v>
      </c>
      <c r="C79" s="454">
        <f>K77</f>
        <v>2.97</v>
      </c>
      <c r="D79" s="346" t="s">
        <v>115</v>
      </c>
      <c r="E79" s="356"/>
      <c r="F79" s="357">
        <f>C79*E79</f>
        <v>0</v>
      </c>
      <c r="G79" s="381"/>
      <c r="H79" s="390"/>
      <c r="I79" s="346"/>
      <c r="J79" s="346"/>
      <c r="K79" s="346"/>
      <c r="L79" s="346"/>
    </row>
    <row r="80" spans="1:15" s="389" customFormat="1">
      <c r="A80" s="402"/>
      <c r="B80" s="393"/>
      <c r="C80" s="454"/>
      <c r="D80" s="346"/>
      <c r="E80" s="356"/>
      <c r="F80" s="357"/>
      <c r="G80" s="381"/>
      <c r="H80" s="390"/>
      <c r="I80" s="346"/>
      <c r="J80" s="346"/>
      <c r="K80" s="346"/>
      <c r="L80" s="346"/>
    </row>
    <row r="81" spans="1:256" s="389" customFormat="1" ht="76.5">
      <c r="A81" s="392"/>
      <c r="B81" s="393" t="s">
        <v>319</v>
      </c>
      <c r="C81" s="454"/>
      <c r="D81" s="346"/>
      <c r="E81" s="400"/>
      <c r="F81" s="401"/>
      <c r="G81" s="381"/>
      <c r="H81" s="390"/>
    </row>
    <row r="82" spans="1:256" s="389" customFormat="1">
      <c r="A82" s="364" t="s">
        <v>316</v>
      </c>
      <c r="B82" s="393" t="s">
        <v>308</v>
      </c>
      <c r="C82" s="454">
        <f>C79</f>
        <v>2.97</v>
      </c>
      <c r="D82" s="346" t="s">
        <v>115</v>
      </c>
      <c r="E82" s="356"/>
      <c r="F82" s="357">
        <f>C82*E82</f>
        <v>0</v>
      </c>
      <c r="G82" s="381"/>
      <c r="H82" s="390"/>
    </row>
    <row r="83" spans="1:256" s="389" customFormat="1">
      <c r="A83" s="392"/>
      <c r="B83" s="393"/>
      <c r="C83" s="454"/>
      <c r="D83" s="346"/>
      <c r="E83" s="400"/>
      <c r="F83" s="401"/>
      <c r="G83" s="381"/>
      <c r="H83" s="390"/>
    </row>
    <row r="84" spans="1:256" s="389" customFormat="1" ht="63.75">
      <c r="A84" s="364" t="s">
        <v>841</v>
      </c>
      <c r="B84" s="393" t="s">
        <v>477</v>
      </c>
      <c r="C84" s="458"/>
      <c r="D84" s="363"/>
      <c r="E84" s="414"/>
      <c r="F84" s="414"/>
    </row>
    <row r="85" spans="1:256" s="389" customFormat="1">
      <c r="A85" s="422"/>
      <c r="B85" s="423"/>
      <c r="C85" s="462">
        <v>2</v>
      </c>
      <c r="D85" s="416" t="s">
        <v>190</v>
      </c>
      <c r="E85" s="424"/>
      <c r="F85" s="425">
        <f>C85*E85</f>
        <v>0</v>
      </c>
    </row>
    <row r="86" spans="1:256" s="389" customFormat="1">
      <c r="A86" s="354"/>
      <c r="B86" s="355"/>
      <c r="C86" s="455"/>
      <c r="D86" s="352"/>
      <c r="E86" s="360"/>
      <c r="F86" s="361"/>
    </row>
    <row r="87" spans="1:256" s="346" customFormat="1">
      <c r="A87" s="348" t="s">
        <v>185</v>
      </c>
      <c r="B87" s="349" t="s">
        <v>299</v>
      </c>
      <c r="C87" s="464"/>
      <c r="D87" s="350"/>
      <c r="E87" s="376"/>
      <c r="F87" s="377">
        <f>SUM(F71:F85)</f>
        <v>0</v>
      </c>
      <c r="G87" s="345"/>
      <c r="H87" s="345"/>
    </row>
    <row r="88" spans="1:256" s="350" customFormat="1">
      <c r="A88" s="354"/>
      <c r="B88" s="355"/>
      <c r="C88" s="455"/>
      <c r="D88" s="352"/>
      <c r="E88" s="352"/>
      <c r="F88" s="353"/>
      <c r="G88" s="381"/>
    </row>
    <row r="89" spans="1:256" s="352" customFormat="1">
      <c r="A89" s="348" t="s">
        <v>102</v>
      </c>
      <c r="B89" s="349" t="s">
        <v>170</v>
      </c>
      <c r="C89" s="464"/>
      <c r="D89" s="350"/>
      <c r="E89" s="376"/>
      <c r="F89" s="377"/>
      <c r="G89" s="345"/>
      <c r="H89" s="345"/>
      <c r="IV89" s="405"/>
    </row>
    <row r="90" spans="1:256">
      <c r="A90" s="364"/>
      <c r="B90" s="344"/>
      <c r="C90" s="454"/>
      <c r="D90" s="346"/>
      <c r="E90" s="356"/>
      <c r="F90" s="357"/>
    </row>
    <row r="91" spans="1:256" ht="25.5">
      <c r="A91" s="364" t="s">
        <v>300</v>
      </c>
      <c r="B91" s="393" t="s">
        <v>301</v>
      </c>
      <c r="C91" s="454"/>
      <c r="D91" s="346"/>
      <c r="E91" s="400"/>
      <c r="F91" s="401"/>
    </row>
    <row r="92" spans="1:256">
      <c r="A92" s="402"/>
      <c r="B92" s="393"/>
      <c r="C92" s="454">
        <f>C8</f>
        <v>4.5</v>
      </c>
      <c r="D92" s="346" t="s">
        <v>115</v>
      </c>
      <c r="E92" s="356"/>
      <c r="F92" s="357">
        <f>C92*E92</f>
        <v>0</v>
      </c>
    </row>
    <row r="93" spans="1:256">
      <c r="A93" s="402"/>
      <c r="B93" s="393"/>
      <c r="C93" s="454"/>
      <c r="D93" s="346"/>
      <c r="E93" s="356"/>
      <c r="F93" s="357"/>
    </row>
    <row r="94" spans="1:256" ht="51">
      <c r="A94" s="364" t="s">
        <v>302</v>
      </c>
      <c r="B94" s="393" t="s">
        <v>303</v>
      </c>
      <c r="C94" s="458"/>
      <c r="D94" s="363"/>
      <c r="E94" s="414"/>
      <c r="F94" s="414"/>
    </row>
    <row r="95" spans="1:256">
      <c r="A95" s="364"/>
      <c r="B95" s="393"/>
      <c r="C95" s="454">
        <f>C92</f>
        <v>4.5</v>
      </c>
      <c r="D95" s="346" t="s">
        <v>115</v>
      </c>
      <c r="E95" s="356"/>
      <c r="F95" s="357">
        <f>C95*E95</f>
        <v>0</v>
      </c>
    </row>
    <row r="96" spans="1:256">
      <c r="C96" s="457"/>
      <c r="E96" s="406"/>
    </row>
    <row r="97" spans="1:6">
      <c r="A97" s="348" t="s">
        <v>102</v>
      </c>
      <c r="B97" s="349" t="s">
        <v>304</v>
      </c>
      <c r="C97" s="464"/>
      <c r="D97" s="350"/>
      <c r="E97" s="376"/>
      <c r="F97" s="377">
        <f>SUM(F90:F96)</f>
        <v>0</v>
      </c>
    </row>
    <row r="98" spans="1:6">
      <c r="C98" s="457"/>
      <c r="E98" s="406"/>
    </row>
    <row r="100" spans="1:6">
      <c r="A100" s="429"/>
      <c r="B100" s="346"/>
      <c r="C100" s="466"/>
      <c r="D100" s="346"/>
      <c r="E100" s="346"/>
      <c r="F100" s="346"/>
    </row>
    <row r="101" spans="1:6">
      <c r="A101" s="429"/>
      <c r="B101" s="346"/>
      <c r="C101" s="466"/>
      <c r="D101" s="346"/>
      <c r="E101" s="346"/>
      <c r="F101" s="346"/>
    </row>
  </sheetData>
  <pageMargins left="0.70866141732283472" right="0.70866141732283472" top="0.74803149606299213" bottom="0.74803149606299213" header="0.31496062992125984" footer="0.31496062992125984"/>
  <pageSetup paperSize="9" orientation="portrait" r:id="rId1"/>
  <headerFooter>
    <oddHeader>&amp;CProjekt Dolenje in Gorenje Ponikve:
Kanalizacija, rekonstrukcija vodovoda in pločnik med naseljema</oddHeader>
    <oddFooter>&amp;R&amp;P/&amp;N</oddFooter>
  </headerFooter>
  <rowBreaks count="5" manualBreakCount="5">
    <brk id="13" max="5" man="1"/>
    <brk id="36" max="5" man="1"/>
    <brk id="58" max="5" man="1"/>
    <brk id="69" max="5" man="1"/>
    <brk id="87" max="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V105"/>
  <sheetViews>
    <sheetView view="pageBreakPreview" topLeftCell="A88" zoomScale="140" zoomScaleNormal="150" zoomScaleSheetLayoutView="140" workbookViewId="0">
      <selection activeCell="E101" sqref="E101"/>
    </sheetView>
  </sheetViews>
  <sheetFormatPr defaultColWidth="9" defaultRowHeight="12.75"/>
  <cols>
    <col min="1" max="1" width="7.42578125" style="395" bestFit="1" customWidth="1"/>
    <col min="2" max="2" width="41.42578125" style="396" customWidth="1"/>
    <col min="3" max="3" width="8.7109375" style="472" customWidth="1"/>
    <col min="4" max="4" width="6.140625" style="394" customWidth="1"/>
    <col min="5" max="5" width="12.28515625" style="394" customWidth="1"/>
    <col min="6" max="6" width="11" style="428" customWidth="1"/>
    <col min="7" max="7" width="10.140625" style="394" customWidth="1"/>
    <col min="8" max="8" width="2" style="394" bestFit="1" customWidth="1"/>
    <col min="9" max="9" width="19.5703125" style="394" customWidth="1"/>
    <col min="10" max="10" width="4.85546875" style="394" customWidth="1"/>
    <col min="11" max="11" width="9.85546875" style="394" customWidth="1"/>
    <col min="12" max="12" width="12" style="394" customWidth="1"/>
    <col min="13" max="256" width="9" style="394"/>
    <col min="257" max="257" width="7.42578125" style="394" bestFit="1" customWidth="1"/>
    <col min="258" max="258" width="37.42578125" style="394" customWidth="1"/>
    <col min="259" max="259" width="14.140625" style="394" customWidth="1"/>
    <col min="260" max="260" width="6.140625" style="394" customWidth="1"/>
    <col min="261" max="261" width="12.28515625" style="394" customWidth="1"/>
    <col min="262" max="262" width="15.42578125" style="394" customWidth="1"/>
    <col min="263" max="263" width="10.140625" style="394" customWidth="1"/>
    <col min="264" max="264" width="2" style="394" bestFit="1" customWidth="1"/>
    <col min="265" max="265" width="39.42578125" style="394" customWidth="1"/>
    <col min="266" max="512" width="9" style="394"/>
    <col min="513" max="513" width="7.42578125" style="394" bestFit="1" customWidth="1"/>
    <col min="514" max="514" width="37.42578125" style="394" customWidth="1"/>
    <col min="515" max="515" width="14.140625" style="394" customWidth="1"/>
    <col min="516" max="516" width="6.140625" style="394" customWidth="1"/>
    <col min="517" max="517" width="12.28515625" style="394" customWidth="1"/>
    <col min="518" max="518" width="15.42578125" style="394" customWidth="1"/>
    <col min="519" max="519" width="10.140625" style="394" customWidth="1"/>
    <col min="520" max="520" width="2" style="394" bestFit="1" customWidth="1"/>
    <col min="521" max="521" width="39.42578125" style="394" customWidth="1"/>
    <col min="522" max="768" width="9" style="394"/>
    <col min="769" max="769" width="7.42578125" style="394" bestFit="1" customWidth="1"/>
    <col min="770" max="770" width="37.42578125" style="394" customWidth="1"/>
    <col min="771" max="771" width="14.140625" style="394" customWidth="1"/>
    <col min="772" max="772" width="6.140625" style="394" customWidth="1"/>
    <col min="773" max="773" width="12.28515625" style="394" customWidth="1"/>
    <col min="774" max="774" width="15.42578125" style="394" customWidth="1"/>
    <col min="775" max="775" width="10.140625" style="394" customWidth="1"/>
    <col min="776" max="776" width="2" style="394" bestFit="1" customWidth="1"/>
    <col min="777" max="777" width="39.42578125" style="394" customWidth="1"/>
    <col min="778" max="1024" width="9" style="394"/>
    <col min="1025" max="1025" width="7.42578125" style="394" bestFit="1" customWidth="1"/>
    <col min="1026" max="1026" width="37.42578125" style="394" customWidth="1"/>
    <col min="1027" max="1027" width="14.140625" style="394" customWidth="1"/>
    <col min="1028" max="1028" width="6.140625" style="394" customWidth="1"/>
    <col min="1029" max="1029" width="12.28515625" style="394" customWidth="1"/>
    <col min="1030" max="1030" width="15.42578125" style="394" customWidth="1"/>
    <col min="1031" max="1031" width="10.140625" style="394" customWidth="1"/>
    <col min="1032" max="1032" width="2" style="394" bestFit="1" customWidth="1"/>
    <col min="1033" max="1033" width="39.42578125" style="394" customWidth="1"/>
    <col min="1034" max="1280" width="9" style="394"/>
    <col min="1281" max="1281" width="7.42578125" style="394" bestFit="1" customWidth="1"/>
    <col min="1282" max="1282" width="37.42578125" style="394" customWidth="1"/>
    <col min="1283" max="1283" width="14.140625" style="394" customWidth="1"/>
    <col min="1284" max="1284" width="6.140625" style="394" customWidth="1"/>
    <col min="1285" max="1285" width="12.28515625" style="394" customWidth="1"/>
    <col min="1286" max="1286" width="15.42578125" style="394" customWidth="1"/>
    <col min="1287" max="1287" width="10.140625" style="394" customWidth="1"/>
    <col min="1288" max="1288" width="2" style="394" bestFit="1" customWidth="1"/>
    <col min="1289" max="1289" width="39.42578125" style="394" customWidth="1"/>
    <col min="1290" max="1536" width="9" style="394"/>
    <col min="1537" max="1537" width="7.42578125" style="394" bestFit="1" customWidth="1"/>
    <col min="1538" max="1538" width="37.42578125" style="394" customWidth="1"/>
    <col min="1539" max="1539" width="14.140625" style="394" customWidth="1"/>
    <col min="1540" max="1540" width="6.140625" style="394" customWidth="1"/>
    <col min="1541" max="1541" width="12.28515625" style="394" customWidth="1"/>
    <col min="1542" max="1542" width="15.42578125" style="394" customWidth="1"/>
    <col min="1543" max="1543" width="10.140625" style="394" customWidth="1"/>
    <col min="1544" max="1544" width="2" style="394" bestFit="1" customWidth="1"/>
    <col min="1545" max="1545" width="39.42578125" style="394" customWidth="1"/>
    <col min="1546" max="1792" width="9" style="394"/>
    <col min="1793" max="1793" width="7.42578125" style="394" bestFit="1" customWidth="1"/>
    <col min="1794" max="1794" width="37.42578125" style="394" customWidth="1"/>
    <col min="1795" max="1795" width="14.140625" style="394" customWidth="1"/>
    <col min="1796" max="1796" width="6.140625" style="394" customWidth="1"/>
    <col min="1797" max="1797" width="12.28515625" style="394" customWidth="1"/>
    <col min="1798" max="1798" width="15.42578125" style="394" customWidth="1"/>
    <col min="1799" max="1799" width="10.140625" style="394" customWidth="1"/>
    <col min="1800" max="1800" width="2" style="394" bestFit="1" customWidth="1"/>
    <col min="1801" max="1801" width="39.42578125" style="394" customWidth="1"/>
    <col min="1802" max="2048" width="9" style="394"/>
    <col min="2049" max="2049" width="7.42578125" style="394" bestFit="1" customWidth="1"/>
    <col min="2050" max="2050" width="37.42578125" style="394" customWidth="1"/>
    <col min="2051" max="2051" width="14.140625" style="394" customWidth="1"/>
    <col min="2052" max="2052" width="6.140625" style="394" customWidth="1"/>
    <col min="2053" max="2053" width="12.28515625" style="394" customWidth="1"/>
    <col min="2054" max="2054" width="15.42578125" style="394" customWidth="1"/>
    <col min="2055" max="2055" width="10.140625" style="394" customWidth="1"/>
    <col min="2056" max="2056" width="2" style="394" bestFit="1" customWidth="1"/>
    <col min="2057" max="2057" width="39.42578125" style="394" customWidth="1"/>
    <col min="2058" max="2304" width="9" style="394"/>
    <col min="2305" max="2305" width="7.42578125" style="394" bestFit="1" customWidth="1"/>
    <col min="2306" max="2306" width="37.42578125" style="394" customWidth="1"/>
    <col min="2307" max="2307" width="14.140625" style="394" customWidth="1"/>
    <col min="2308" max="2308" width="6.140625" style="394" customWidth="1"/>
    <col min="2309" max="2309" width="12.28515625" style="394" customWidth="1"/>
    <col min="2310" max="2310" width="15.42578125" style="394" customWidth="1"/>
    <col min="2311" max="2311" width="10.140625" style="394" customWidth="1"/>
    <col min="2312" max="2312" width="2" style="394" bestFit="1" customWidth="1"/>
    <col min="2313" max="2313" width="39.42578125" style="394" customWidth="1"/>
    <col min="2314" max="2560" width="9" style="394"/>
    <col min="2561" max="2561" width="7.42578125" style="394" bestFit="1" customWidth="1"/>
    <col min="2562" max="2562" width="37.42578125" style="394" customWidth="1"/>
    <col min="2563" max="2563" width="14.140625" style="394" customWidth="1"/>
    <col min="2564" max="2564" width="6.140625" style="394" customWidth="1"/>
    <col min="2565" max="2565" width="12.28515625" style="394" customWidth="1"/>
    <col min="2566" max="2566" width="15.42578125" style="394" customWidth="1"/>
    <col min="2567" max="2567" width="10.140625" style="394" customWidth="1"/>
    <col min="2568" max="2568" width="2" style="394" bestFit="1" customWidth="1"/>
    <col min="2569" max="2569" width="39.42578125" style="394" customWidth="1"/>
    <col min="2570" max="2816" width="9" style="394"/>
    <col min="2817" max="2817" width="7.42578125" style="394" bestFit="1" customWidth="1"/>
    <col min="2818" max="2818" width="37.42578125" style="394" customWidth="1"/>
    <col min="2819" max="2819" width="14.140625" style="394" customWidth="1"/>
    <col min="2820" max="2820" width="6.140625" style="394" customWidth="1"/>
    <col min="2821" max="2821" width="12.28515625" style="394" customWidth="1"/>
    <col min="2822" max="2822" width="15.42578125" style="394" customWidth="1"/>
    <col min="2823" max="2823" width="10.140625" style="394" customWidth="1"/>
    <col min="2824" max="2824" width="2" style="394" bestFit="1" customWidth="1"/>
    <col min="2825" max="2825" width="39.42578125" style="394" customWidth="1"/>
    <col min="2826" max="3072" width="9" style="394"/>
    <col min="3073" max="3073" width="7.42578125" style="394" bestFit="1" customWidth="1"/>
    <col min="3074" max="3074" width="37.42578125" style="394" customWidth="1"/>
    <col min="3075" max="3075" width="14.140625" style="394" customWidth="1"/>
    <col min="3076" max="3076" width="6.140625" style="394" customWidth="1"/>
    <col min="3077" max="3077" width="12.28515625" style="394" customWidth="1"/>
    <col min="3078" max="3078" width="15.42578125" style="394" customWidth="1"/>
    <col min="3079" max="3079" width="10.140625" style="394" customWidth="1"/>
    <col min="3080" max="3080" width="2" style="394" bestFit="1" customWidth="1"/>
    <col min="3081" max="3081" width="39.42578125" style="394" customWidth="1"/>
    <col min="3082" max="3328" width="9" style="394"/>
    <col min="3329" max="3329" width="7.42578125" style="394" bestFit="1" customWidth="1"/>
    <col min="3330" max="3330" width="37.42578125" style="394" customWidth="1"/>
    <col min="3331" max="3331" width="14.140625" style="394" customWidth="1"/>
    <col min="3332" max="3332" width="6.140625" style="394" customWidth="1"/>
    <col min="3333" max="3333" width="12.28515625" style="394" customWidth="1"/>
    <col min="3334" max="3334" width="15.42578125" style="394" customWidth="1"/>
    <col min="3335" max="3335" width="10.140625" style="394" customWidth="1"/>
    <col min="3336" max="3336" width="2" style="394" bestFit="1" customWidth="1"/>
    <col min="3337" max="3337" width="39.42578125" style="394" customWidth="1"/>
    <col min="3338" max="3584" width="9" style="394"/>
    <col min="3585" max="3585" width="7.42578125" style="394" bestFit="1" customWidth="1"/>
    <col min="3586" max="3586" width="37.42578125" style="394" customWidth="1"/>
    <col min="3587" max="3587" width="14.140625" style="394" customWidth="1"/>
    <col min="3588" max="3588" width="6.140625" style="394" customWidth="1"/>
    <col min="3589" max="3589" width="12.28515625" style="394" customWidth="1"/>
    <col min="3590" max="3590" width="15.42578125" style="394" customWidth="1"/>
    <col min="3591" max="3591" width="10.140625" style="394" customWidth="1"/>
    <col min="3592" max="3592" width="2" style="394" bestFit="1" customWidth="1"/>
    <col min="3593" max="3593" width="39.42578125" style="394" customWidth="1"/>
    <col min="3594" max="3840" width="9" style="394"/>
    <col min="3841" max="3841" width="7.42578125" style="394" bestFit="1" customWidth="1"/>
    <col min="3842" max="3842" width="37.42578125" style="394" customWidth="1"/>
    <col min="3843" max="3843" width="14.140625" style="394" customWidth="1"/>
    <col min="3844" max="3844" width="6.140625" style="394" customWidth="1"/>
    <col min="3845" max="3845" width="12.28515625" style="394" customWidth="1"/>
    <col min="3846" max="3846" width="15.42578125" style="394" customWidth="1"/>
    <col min="3847" max="3847" width="10.140625" style="394" customWidth="1"/>
    <col min="3848" max="3848" width="2" style="394" bestFit="1" customWidth="1"/>
    <col min="3849" max="3849" width="39.42578125" style="394" customWidth="1"/>
    <col min="3850" max="4096" width="9" style="394"/>
    <col min="4097" max="4097" width="7.42578125" style="394" bestFit="1" customWidth="1"/>
    <col min="4098" max="4098" width="37.42578125" style="394" customWidth="1"/>
    <col min="4099" max="4099" width="14.140625" style="394" customWidth="1"/>
    <col min="4100" max="4100" width="6.140625" style="394" customWidth="1"/>
    <col min="4101" max="4101" width="12.28515625" style="394" customWidth="1"/>
    <col min="4102" max="4102" width="15.42578125" style="394" customWidth="1"/>
    <col min="4103" max="4103" width="10.140625" style="394" customWidth="1"/>
    <col min="4104" max="4104" width="2" style="394" bestFit="1" customWidth="1"/>
    <col min="4105" max="4105" width="39.42578125" style="394" customWidth="1"/>
    <col min="4106" max="4352" width="9" style="394"/>
    <col min="4353" max="4353" width="7.42578125" style="394" bestFit="1" customWidth="1"/>
    <col min="4354" max="4354" width="37.42578125" style="394" customWidth="1"/>
    <col min="4355" max="4355" width="14.140625" style="394" customWidth="1"/>
    <col min="4356" max="4356" width="6.140625" style="394" customWidth="1"/>
    <col min="4357" max="4357" width="12.28515625" style="394" customWidth="1"/>
    <col min="4358" max="4358" width="15.42578125" style="394" customWidth="1"/>
    <col min="4359" max="4359" width="10.140625" style="394" customWidth="1"/>
    <col min="4360" max="4360" width="2" style="394" bestFit="1" customWidth="1"/>
    <col min="4361" max="4361" width="39.42578125" style="394" customWidth="1"/>
    <col min="4362" max="4608" width="9" style="394"/>
    <col min="4609" max="4609" width="7.42578125" style="394" bestFit="1" customWidth="1"/>
    <col min="4610" max="4610" width="37.42578125" style="394" customWidth="1"/>
    <col min="4611" max="4611" width="14.140625" style="394" customWidth="1"/>
    <col min="4612" max="4612" width="6.140625" style="394" customWidth="1"/>
    <col min="4613" max="4613" width="12.28515625" style="394" customWidth="1"/>
    <col min="4614" max="4614" width="15.42578125" style="394" customWidth="1"/>
    <col min="4615" max="4615" width="10.140625" style="394" customWidth="1"/>
    <col min="4616" max="4616" width="2" style="394" bestFit="1" customWidth="1"/>
    <col min="4617" max="4617" width="39.42578125" style="394" customWidth="1"/>
    <col min="4618" max="4864" width="9" style="394"/>
    <col min="4865" max="4865" width="7.42578125" style="394" bestFit="1" customWidth="1"/>
    <col min="4866" max="4866" width="37.42578125" style="394" customWidth="1"/>
    <col min="4867" max="4867" width="14.140625" style="394" customWidth="1"/>
    <col min="4868" max="4868" width="6.140625" style="394" customWidth="1"/>
    <col min="4869" max="4869" width="12.28515625" style="394" customWidth="1"/>
    <col min="4870" max="4870" width="15.42578125" style="394" customWidth="1"/>
    <col min="4871" max="4871" width="10.140625" style="394" customWidth="1"/>
    <col min="4872" max="4872" width="2" style="394" bestFit="1" customWidth="1"/>
    <col min="4873" max="4873" width="39.42578125" style="394" customWidth="1"/>
    <col min="4874" max="5120" width="9" style="394"/>
    <col min="5121" max="5121" width="7.42578125" style="394" bestFit="1" customWidth="1"/>
    <col min="5122" max="5122" width="37.42578125" style="394" customWidth="1"/>
    <col min="5123" max="5123" width="14.140625" style="394" customWidth="1"/>
    <col min="5124" max="5124" width="6.140625" style="394" customWidth="1"/>
    <col min="5125" max="5125" width="12.28515625" style="394" customWidth="1"/>
    <col min="5126" max="5126" width="15.42578125" style="394" customWidth="1"/>
    <col min="5127" max="5127" width="10.140625" style="394" customWidth="1"/>
    <col min="5128" max="5128" width="2" style="394" bestFit="1" customWidth="1"/>
    <col min="5129" max="5129" width="39.42578125" style="394" customWidth="1"/>
    <col min="5130" max="5376" width="9" style="394"/>
    <col min="5377" max="5377" width="7.42578125" style="394" bestFit="1" customWidth="1"/>
    <col min="5378" max="5378" width="37.42578125" style="394" customWidth="1"/>
    <col min="5379" max="5379" width="14.140625" style="394" customWidth="1"/>
    <col min="5380" max="5380" width="6.140625" style="394" customWidth="1"/>
    <col min="5381" max="5381" width="12.28515625" style="394" customWidth="1"/>
    <col min="5382" max="5382" width="15.42578125" style="394" customWidth="1"/>
    <col min="5383" max="5383" width="10.140625" style="394" customWidth="1"/>
    <col min="5384" max="5384" width="2" style="394" bestFit="1" customWidth="1"/>
    <col min="5385" max="5385" width="39.42578125" style="394" customWidth="1"/>
    <col min="5386" max="5632" width="9" style="394"/>
    <col min="5633" max="5633" width="7.42578125" style="394" bestFit="1" customWidth="1"/>
    <col min="5634" max="5634" width="37.42578125" style="394" customWidth="1"/>
    <col min="5635" max="5635" width="14.140625" style="394" customWidth="1"/>
    <col min="5636" max="5636" width="6.140625" style="394" customWidth="1"/>
    <col min="5637" max="5637" width="12.28515625" style="394" customWidth="1"/>
    <col min="5638" max="5638" width="15.42578125" style="394" customWidth="1"/>
    <col min="5639" max="5639" width="10.140625" style="394" customWidth="1"/>
    <col min="5640" max="5640" width="2" style="394" bestFit="1" customWidth="1"/>
    <col min="5641" max="5641" width="39.42578125" style="394" customWidth="1"/>
    <col min="5642" max="5888" width="9" style="394"/>
    <col min="5889" max="5889" width="7.42578125" style="394" bestFit="1" customWidth="1"/>
    <col min="5890" max="5890" width="37.42578125" style="394" customWidth="1"/>
    <col min="5891" max="5891" width="14.140625" style="394" customWidth="1"/>
    <col min="5892" max="5892" width="6.140625" style="394" customWidth="1"/>
    <col min="5893" max="5893" width="12.28515625" style="394" customWidth="1"/>
    <col min="5894" max="5894" width="15.42578125" style="394" customWidth="1"/>
    <col min="5895" max="5895" width="10.140625" style="394" customWidth="1"/>
    <col min="5896" max="5896" width="2" style="394" bestFit="1" customWidth="1"/>
    <col min="5897" max="5897" width="39.42578125" style="394" customWidth="1"/>
    <col min="5898" max="6144" width="9" style="394"/>
    <col min="6145" max="6145" width="7.42578125" style="394" bestFit="1" customWidth="1"/>
    <col min="6146" max="6146" width="37.42578125" style="394" customWidth="1"/>
    <col min="6147" max="6147" width="14.140625" style="394" customWidth="1"/>
    <col min="6148" max="6148" width="6.140625" style="394" customWidth="1"/>
    <col min="6149" max="6149" width="12.28515625" style="394" customWidth="1"/>
    <col min="6150" max="6150" width="15.42578125" style="394" customWidth="1"/>
    <col min="6151" max="6151" width="10.140625" style="394" customWidth="1"/>
    <col min="6152" max="6152" width="2" style="394" bestFit="1" customWidth="1"/>
    <col min="6153" max="6153" width="39.42578125" style="394" customWidth="1"/>
    <col min="6154" max="6400" width="9" style="394"/>
    <col min="6401" max="6401" width="7.42578125" style="394" bestFit="1" customWidth="1"/>
    <col min="6402" max="6402" width="37.42578125" style="394" customWidth="1"/>
    <col min="6403" max="6403" width="14.140625" style="394" customWidth="1"/>
    <col min="6404" max="6404" width="6.140625" style="394" customWidth="1"/>
    <col min="6405" max="6405" width="12.28515625" style="394" customWidth="1"/>
    <col min="6406" max="6406" width="15.42578125" style="394" customWidth="1"/>
    <col min="6407" max="6407" width="10.140625" style="394" customWidth="1"/>
    <col min="6408" max="6408" width="2" style="394" bestFit="1" customWidth="1"/>
    <col min="6409" max="6409" width="39.42578125" style="394" customWidth="1"/>
    <col min="6410" max="6656" width="9" style="394"/>
    <col min="6657" max="6657" width="7.42578125" style="394" bestFit="1" customWidth="1"/>
    <col min="6658" max="6658" width="37.42578125" style="394" customWidth="1"/>
    <col min="6659" max="6659" width="14.140625" style="394" customWidth="1"/>
    <col min="6660" max="6660" width="6.140625" style="394" customWidth="1"/>
    <col min="6661" max="6661" width="12.28515625" style="394" customWidth="1"/>
    <col min="6662" max="6662" width="15.42578125" style="394" customWidth="1"/>
    <col min="6663" max="6663" width="10.140625" style="394" customWidth="1"/>
    <col min="6664" max="6664" width="2" style="394" bestFit="1" customWidth="1"/>
    <col min="6665" max="6665" width="39.42578125" style="394" customWidth="1"/>
    <col min="6666" max="6912" width="9" style="394"/>
    <col min="6913" max="6913" width="7.42578125" style="394" bestFit="1" customWidth="1"/>
    <col min="6914" max="6914" width="37.42578125" style="394" customWidth="1"/>
    <col min="6915" max="6915" width="14.140625" style="394" customWidth="1"/>
    <col min="6916" max="6916" width="6.140625" style="394" customWidth="1"/>
    <col min="6917" max="6917" width="12.28515625" style="394" customWidth="1"/>
    <col min="6918" max="6918" width="15.42578125" style="394" customWidth="1"/>
    <col min="6919" max="6919" width="10.140625" style="394" customWidth="1"/>
    <col min="6920" max="6920" width="2" style="394" bestFit="1" customWidth="1"/>
    <col min="6921" max="6921" width="39.42578125" style="394" customWidth="1"/>
    <col min="6922" max="7168" width="9" style="394"/>
    <col min="7169" max="7169" width="7.42578125" style="394" bestFit="1" customWidth="1"/>
    <col min="7170" max="7170" width="37.42578125" style="394" customWidth="1"/>
    <col min="7171" max="7171" width="14.140625" style="394" customWidth="1"/>
    <col min="7172" max="7172" width="6.140625" style="394" customWidth="1"/>
    <col min="7173" max="7173" width="12.28515625" style="394" customWidth="1"/>
    <col min="7174" max="7174" width="15.42578125" style="394" customWidth="1"/>
    <col min="7175" max="7175" width="10.140625" style="394" customWidth="1"/>
    <col min="7176" max="7176" width="2" style="394" bestFit="1" customWidth="1"/>
    <col min="7177" max="7177" width="39.42578125" style="394" customWidth="1"/>
    <col min="7178" max="7424" width="9" style="394"/>
    <col min="7425" max="7425" width="7.42578125" style="394" bestFit="1" customWidth="1"/>
    <col min="7426" max="7426" width="37.42578125" style="394" customWidth="1"/>
    <col min="7427" max="7427" width="14.140625" style="394" customWidth="1"/>
    <col min="7428" max="7428" width="6.140625" style="394" customWidth="1"/>
    <col min="7429" max="7429" width="12.28515625" style="394" customWidth="1"/>
    <col min="7430" max="7430" width="15.42578125" style="394" customWidth="1"/>
    <col min="7431" max="7431" width="10.140625" style="394" customWidth="1"/>
    <col min="7432" max="7432" width="2" style="394" bestFit="1" customWidth="1"/>
    <col min="7433" max="7433" width="39.42578125" style="394" customWidth="1"/>
    <col min="7434" max="7680" width="9" style="394"/>
    <col min="7681" max="7681" width="7.42578125" style="394" bestFit="1" customWidth="1"/>
    <col min="7682" max="7682" width="37.42578125" style="394" customWidth="1"/>
    <col min="7683" max="7683" width="14.140625" style="394" customWidth="1"/>
    <col min="7684" max="7684" width="6.140625" style="394" customWidth="1"/>
    <col min="7685" max="7685" width="12.28515625" style="394" customWidth="1"/>
    <col min="7686" max="7686" width="15.42578125" style="394" customWidth="1"/>
    <col min="7687" max="7687" width="10.140625" style="394" customWidth="1"/>
    <col min="7688" max="7688" width="2" style="394" bestFit="1" customWidth="1"/>
    <col min="7689" max="7689" width="39.42578125" style="394" customWidth="1"/>
    <col min="7690" max="7936" width="9" style="394"/>
    <col min="7937" max="7937" width="7.42578125" style="394" bestFit="1" customWidth="1"/>
    <col min="7938" max="7938" width="37.42578125" style="394" customWidth="1"/>
    <col min="7939" max="7939" width="14.140625" style="394" customWidth="1"/>
    <col min="7940" max="7940" width="6.140625" style="394" customWidth="1"/>
    <col min="7941" max="7941" width="12.28515625" style="394" customWidth="1"/>
    <col min="7942" max="7942" width="15.42578125" style="394" customWidth="1"/>
    <col min="7943" max="7943" width="10.140625" style="394" customWidth="1"/>
    <col min="7944" max="7944" width="2" style="394" bestFit="1" customWidth="1"/>
    <col min="7945" max="7945" width="39.42578125" style="394" customWidth="1"/>
    <col min="7946" max="8192" width="9" style="394"/>
    <col min="8193" max="8193" width="7.42578125" style="394" bestFit="1" customWidth="1"/>
    <col min="8194" max="8194" width="37.42578125" style="394" customWidth="1"/>
    <col min="8195" max="8195" width="14.140625" style="394" customWidth="1"/>
    <col min="8196" max="8196" width="6.140625" style="394" customWidth="1"/>
    <col min="8197" max="8197" width="12.28515625" style="394" customWidth="1"/>
    <col min="8198" max="8198" width="15.42578125" style="394" customWidth="1"/>
    <col min="8199" max="8199" width="10.140625" style="394" customWidth="1"/>
    <col min="8200" max="8200" width="2" style="394" bestFit="1" customWidth="1"/>
    <col min="8201" max="8201" width="39.42578125" style="394" customWidth="1"/>
    <col min="8202" max="8448" width="9" style="394"/>
    <col min="8449" max="8449" width="7.42578125" style="394" bestFit="1" customWidth="1"/>
    <col min="8450" max="8450" width="37.42578125" style="394" customWidth="1"/>
    <col min="8451" max="8451" width="14.140625" style="394" customWidth="1"/>
    <col min="8452" max="8452" width="6.140625" style="394" customWidth="1"/>
    <col min="8453" max="8453" width="12.28515625" style="394" customWidth="1"/>
    <col min="8454" max="8454" width="15.42578125" style="394" customWidth="1"/>
    <col min="8455" max="8455" width="10.140625" style="394" customWidth="1"/>
    <col min="8456" max="8456" width="2" style="394" bestFit="1" customWidth="1"/>
    <col min="8457" max="8457" width="39.42578125" style="394" customWidth="1"/>
    <col min="8458" max="8704" width="9" style="394"/>
    <col min="8705" max="8705" width="7.42578125" style="394" bestFit="1" customWidth="1"/>
    <col min="8706" max="8706" width="37.42578125" style="394" customWidth="1"/>
    <col min="8707" max="8707" width="14.140625" style="394" customWidth="1"/>
    <col min="8708" max="8708" width="6.140625" style="394" customWidth="1"/>
    <col min="8709" max="8709" width="12.28515625" style="394" customWidth="1"/>
    <col min="8710" max="8710" width="15.42578125" style="394" customWidth="1"/>
    <col min="8711" max="8711" width="10.140625" style="394" customWidth="1"/>
    <col min="8712" max="8712" width="2" style="394" bestFit="1" customWidth="1"/>
    <col min="8713" max="8713" width="39.42578125" style="394" customWidth="1"/>
    <col min="8714" max="8960" width="9" style="394"/>
    <col min="8961" max="8961" width="7.42578125" style="394" bestFit="1" customWidth="1"/>
    <col min="8962" max="8962" width="37.42578125" style="394" customWidth="1"/>
    <col min="8963" max="8963" width="14.140625" style="394" customWidth="1"/>
    <col min="8964" max="8964" width="6.140625" style="394" customWidth="1"/>
    <col min="8965" max="8965" width="12.28515625" style="394" customWidth="1"/>
    <col min="8966" max="8966" width="15.42578125" style="394" customWidth="1"/>
    <col min="8967" max="8967" width="10.140625" style="394" customWidth="1"/>
    <col min="8968" max="8968" width="2" style="394" bestFit="1" customWidth="1"/>
    <col min="8969" max="8969" width="39.42578125" style="394" customWidth="1"/>
    <col min="8970" max="9216" width="9" style="394"/>
    <col min="9217" max="9217" width="7.42578125" style="394" bestFit="1" customWidth="1"/>
    <col min="9218" max="9218" width="37.42578125" style="394" customWidth="1"/>
    <col min="9219" max="9219" width="14.140625" style="394" customWidth="1"/>
    <col min="9220" max="9220" width="6.140625" style="394" customWidth="1"/>
    <col min="9221" max="9221" width="12.28515625" style="394" customWidth="1"/>
    <col min="9222" max="9222" width="15.42578125" style="394" customWidth="1"/>
    <col min="9223" max="9223" width="10.140625" style="394" customWidth="1"/>
    <col min="9224" max="9224" width="2" style="394" bestFit="1" customWidth="1"/>
    <col min="9225" max="9225" width="39.42578125" style="394" customWidth="1"/>
    <col min="9226" max="9472" width="9" style="394"/>
    <col min="9473" max="9473" width="7.42578125" style="394" bestFit="1" customWidth="1"/>
    <col min="9474" max="9474" width="37.42578125" style="394" customWidth="1"/>
    <col min="9475" max="9475" width="14.140625" style="394" customWidth="1"/>
    <col min="9476" max="9476" width="6.140625" style="394" customWidth="1"/>
    <col min="9477" max="9477" width="12.28515625" style="394" customWidth="1"/>
    <col min="9478" max="9478" width="15.42578125" style="394" customWidth="1"/>
    <col min="9479" max="9479" width="10.140625" style="394" customWidth="1"/>
    <col min="9480" max="9480" width="2" style="394" bestFit="1" customWidth="1"/>
    <col min="9481" max="9481" width="39.42578125" style="394" customWidth="1"/>
    <col min="9482" max="9728" width="9" style="394"/>
    <col min="9729" max="9729" width="7.42578125" style="394" bestFit="1" customWidth="1"/>
    <col min="9730" max="9730" width="37.42578125" style="394" customWidth="1"/>
    <col min="9731" max="9731" width="14.140625" style="394" customWidth="1"/>
    <col min="9732" max="9732" width="6.140625" style="394" customWidth="1"/>
    <col min="9733" max="9733" width="12.28515625" style="394" customWidth="1"/>
    <col min="9734" max="9734" width="15.42578125" style="394" customWidth="1"/>
    <col min="9735" max="9735" width="10.140625" style="394" customWidth="1"/>
    <col min="9736" max="9736" width="2" style="394" bestFit="1" customWidth="1"/>
    <col min="9737" max="9737" width="39.42578125" style="394" customWidth="1"/>
    <col min="9738" max="9984" width="9" style="394"/>
    <col min="9985" max="9985" width="7.42578125" style="394" bestFit="1" customWidth="1"/>
    <col min="9986" max="9986" width="37.42578125" style="394" customWidth="1"/>
    <col min="9987" max="9987" width="14.140625" style="394" customWidth="1"/>
    <col min="9988" max="9988" width="6.140625" style="394" customWidth="1"/>
    <col min="9989" max="9989" width="12.28515625" style="394" customWidth="1"/>
    <col min="9990" max="9990" width="15.42578125" style="394" customWidth="1"/>
    <col min="9991" max="9991" width="10.140625" style="394" customWidth="1"/>
    <col min="9992" max="9992" width="2" style="394" bestFit="1" customWidth="1"/>
    <col min="9993" max="9993" width="39.42578125" style="394" customWidth="1"/>
    <col min="9994" max="10240" width="9" style="394"/>
    <col min="10241" max="10241" width="7.42578125" style="394" bestFit="1" customWidth="1"/>
    <col min="10242" max="10242" width="37.42578125" style="394" customWidth="1"/>
    <col min="10243" max="10243" width="14.140625" style="394" customWidth="1"/>
    <col min="10244" max="10244" width="6.140625" style="394" customWidth="1"/>
    <col min="10245" max="10245" width="12.28515625" style="394" customWidth="1"/>
    <col min="10246" max="10246" width="15.42578125" style="394" customWidth="1"/>
    <col min="10247" max="10247" width="10.140625" style="394" customWidth="1"/>
    <col min="10248" max="10248" width="2" style="394" bestFit="1" customWidth="1"/>
    <col min="10249" max="10249" width="39.42578125" style="394" customWidth="1"/>
    <col min="10250" max="10496" width="9" style="394"/>
    <col min="10497" max="10497" width="7.42578125" style="394" bestFit="1" customWidth="1"/>
    <col min="10498" max="10498" width="37.42578125" style="394" customWidth="1"/>
    <col min="10499" max="10499" width="14.140625" style="394" customWidth="1"/>
    <col min="10500" max="10500" width="6.140625" style="394" customWidth="1"/>
    <col min="10501" max="10501" width="12.28515625" style="394" customWidth="1"/>
    <col min="10502" max="10502" width="15.42578125" style="394" customWidth="1"/>
    <col min="10503" max="10503" width="10.140625" style="394" customWidth="1"/>
    <col min="10504" max="10504" width="2" style="394" bestFit="1" customWidth="1"/>
    <col min="10505" max="10505" width="39.42578125" style="394" customWidth="1"/>
    <col min="10506" max="10752" width="9" style="394"/>
    <col min="10753" max="10753" width="7.42578125" style="394" bestFit="1" customWidth="1"/>
    <col min="10754" max="10754" width="37.42578125" style="394" customWidth="1"/>
    <col min="10755" max="10755" width="14.140625" style="394" customWidth="1"/>
    <col min="10756" max="10756" width="6.140625" style="394" customWidth="1"/>
    <col min="10757" max="10757" width="12.28515625" style="394" customWidth="1"/>
    <col min="10758" max="10758" width="15.42578125" style="394" customWidth="1"/>
    <col min="10759" max="10759" width="10.140625" style="394" customWidth="1"/>
    <col min="10760" max="10760" width="2" style="394" bestFit="1" customWidth="1"/>
    <col min="10761" max="10761" width="39.42578125" style="394" customWidth="1"/>
    <col min="10762" max="11008" width="9" style="394"/>
    <col min="11009" max="11009" width="7.42578125" style="394" bestFit="1" customWidth="1"/>
    <col min="11010" max="11010" width="37.42578125" style="394" customWidth="1"/>
    <col min="11011" max="11011" width="14.140625" style="394" customWidth="1"/>
    <col min="11012" max="11012" width="6.140625" style="394" customWidth="1"/>
    <col min="11013" max="11013" width="12.28515625" style="394" customWidth="1"/>
    <col min="11014" max="11014" width="15.42578125" style="394" customWidth="1"/>
    <col min="11015" max="11015" width="10.140625" style="394" customWidth="1"/>
    <col min="11016" max="11016" width="2" style="394" bestFit="1" customWidth="1"/>
    <col min="11017" max="11017" width="39.42578125" style="394" customWidth="1"/>
    <col min="11018" max="11264" width="9" style="394"/>
    <col min="11265" max="11265" width="7.42578125" style="394" bestFit="1" customWidth="1"/>
    <col min="11266" max="11266" width="37.42578125" style="394" customWidth="1"/>
    <col min="11267" max="11267" width="14.140625" style="394" customWidth="1"/>
    <col min="11268" max="11268" width="6.140625" style="394" customWidth="1"/>
    <col min="11269" max="11269" width="12.28515625" style="394" customWidth="1"/>
    <col min="11270" max="11270" width="15.42578125" style="394" customWidth="1"/>
    <col min="11271" max="11271" width="10.140625" style="394" customWidth="1"/>
    <col min="11272" max="11272" width="2" style="394" bestFit="1" customWidth="1"/>
    <col min="11273" max="11273" width="39.42578125" style="394" customWidth="1"/>
    <col min="11274" max="11520" width="9" style="394"/>
    <col min="11521" max="11521" width="7.42578125" style="394" bestFit="1" customWidth="1"/>
    <col min="11522" max="11522" width="37.42578125" style="394" customWidth="1"/>
    <col min="11523" max="11523" width="14.140625" style="394" customWidth="1"/>
    <col min="11524" max="11524" width="6.140625" style="394" customWidth="1"/>
    <col min="11525" max="11525" width="12.28515625" style="394" customWidth="1"/>
    <col min="11526" max="11526" width="15.42578125" style="394" customWidth="1"/>
    <col min="11527" max="11527" width="10.140625" style="394" customWidth="1"/>
    <col min="11528" max="11528" width="2" style="394" bestFit="1" customWidth="1"/>
    <col min="11529" max="11529" width="39.42578125" style="394" customWidth="1"/>
    <col min="11530" max="11776" width="9" style="394"/>
    <col min="11777" max="11777" width="7.42578125" style="394" bestFit="1" customWidth="1"/>
    <col min="11778" max="11778" width="37.42578125" style="394" customWidth="1"/>
    <col min="11779" max="11779" width="14.140625" style="394" customWidth="1"/>
    <col min="11780" max="11780" width="6.140625" style="394" customWidth="1"/>
    <col min="11781" max="11781" width="12.28515625" style="394" customWidth="1"/>
    <col min="11782" max="11782" width="15.42578125" style="394" customWidth="1"/>
    <col min="11783" max="11783" width="10.140625" style="394" customWidth="1"/>
    <col min="11784" max="11784" width="2" style="394" bestFit="1" customWidth="1"/>
    <col min="11785" max="11785" width="39.42578125" style="394" customWidth="1"/>
    <col min="11786" max="12032" width="9" style="394"/>
    <col min="12033" max="12033" width="7.42578125" style="394" bestFit="1" customWidth="1"/>
    <col min="12034" max="12034" width="37.42578125" style="394" customWidth="1"/>
    <col min="12035" max="12035" width="14.140625" style="394" customWidth="1"/>
    <col min="12036" max="12036" width="6.140625" style="394" customWidth="1"/>
    <col min="12037" max="12037" width="12.28515625" style="394" customWidth="1"/>
    <col min="12038" max="12038" width="15.42578125" style="394" customWidth="1"/>
    <col min="12039" max="12039" width="10.140625" style="394" customWidth="1"/>
    <col min="12040" max="12040" width="2" style="394" bestFit="1" customWidth="1"/>
    <col min="12041" max="12041" width="39.42578125" style="394" customWidth="1"/>
    <col min="12042" max="12288" width="9" style="394"/>
    <col min="12289" max="12289" width="7.42578125" style="394" bestFit="1" customWidth="1"/>
    <col min="12290" max="12290" width="37.42578125" style="394" customWidth="1"/>
    <col min="12291" max="12291" width="14.140625" style="394" customWidth="1"/>
    <col min="12292" max="12292" width="6.140625" style="394" customWidth="1"/>
    <col min="12293" max="12293" width="12.28515625" style="394" customWidth="1"/>
    <col min="12294" max="12294" width="15.42578125" style="394" customWidth="1"/>
    <col min="12295" max="12295" width="10.140625" style="394" customWidth="1"/>
    <col min="12296" max="12296" width="2" style="394" bestFit="1" customWidth="1"/>
    <col min="12297" max="12297" width="39.42578125" style="394" customWidth="1"/>
    <col min="12298" max="12544" width="9" style="394"/>
    <col min="12545" max="12545" width="7.42578125" style="394" bestFit="1" customWidth="1"/>
    <col min="12546" max="12546" width="37.42578125" style="394" customWidth="1"/>
    <col min="12547" max="12547" width="14.140625" style="394" customWidth="1"/>
    <col min="12548" max="12548" width="6.140625" style="394" customWidth="1"/>
    <col min="12549" max="12549" width="12.28515625" style="394" customWidth="1"/>
    <col min="12550" max="12550" width="15.42578125" style="394" customWidth="1"/>
    <col min="12551" max="12551" width="10.140625" style="394" customWidth="1"/>
    <col min="12552" max="12552" width="2" style="394" bestFit="1" customWidth="1"/>
    <col min="12553" max="12553" width="39.42578125" style="394" customWidth="1"/>
    <col min="12554" max="12800" width="9" style="394"/>
    <col min="12801" max="12801" width="7.42578125" style="394" bestFit="1" customWidth="1"/>
    <col min="12802" max="12802" width="37.42578125" style="394" customWidth="1"/>
    <col min="12803" max="12803" width="14.140625" style="394" customWidth="1"/>
    <col min="12804" max="12804" width="6.140625" style="394" customWidth="1"/>
    <col min="12805" max="12805" width="12.28515625" style="394" customWidth="1"/>
    <col min="12806" max="12806" width="15.42578125" style="394" customWidth="1"/>
    <col min="12807" max="12807" width="10.140625" style="394" customWidth="1"/>
    <col min="12808" max="12808" width="2" style="394" bestFit="1" customWidth="1"/>
    <col min="12809" max="12809" width="39.42578125" style="394" customWidth="1"/>
    <col min="12810" max="13056" width="9" style="394"/>
    <col min="13057" max="13057" width="7.42578125" style="394" bestFit="1" customWidth="1"/>
    <col min="13058" max="13058" width="37.42578125" style="394" customWidth="1"/>
    <col min="13059" max="13059" width="14.140625" style="394" customWidth="1"/>
    <col min="13060" max="13060" width="6.140625" style="394" customWidth="1"/>
    <col min="13061" max="13061" width="12.28515625" style="394" customWidth="1"/>
    <col min="13062" max="13062" width="15.42578125" style="394" customWidth="1"/>
    <col min="13063" max="13063" width="10.140625" style="394" customWidth="1"/>
    <col min="13064" max="13064" width="2" style="394" bestFit="1" customWidth="1"/>
    <col min="13065" max="13065" width="39.42578125" style="394" customWidth="1"/>
    <col min="13066" max="13312" width="9" style="394"/>
    <col min="13313" max="13313" width="7.42578125" style="394" bestFit="1" customWidth="1"/>
    <col min="13314" max="13314" width="37.42578125" style="394" customWidth="1"/>
    <col min="13315" max="13315" width="14.140625" style="394" customWidth="1"/>
    <col min="13316" max="13316" width="6.140625" style="394" customWidth="1"/>
    <col min="13317" max="13317" width="12.28515625" style="394" customWidth="1"/>
    <col min="13318" max="13318" width="15.42578125" style="394" customWidth="1"/>
    <col min="13319" max="13319" width="10.140625" style="394" customWidth="1"/>
    <col min="13320" max="13320" width="2" style="394" bestFit="1" customWidth="1"/>
    <col min="13321" max="13321" width="39.42578125" style="394" customWidth="1"/>
    <col min="13322" max="13568" width="9" style="394"/>
    <col min="13569" max="13569" width="7.42578125" style="394" bestFit="1" customWidth="1"/>
    <col min="13570" max="13570" width="37.42578125" style="394" customWidth="1"/>
    <col min="13571" max="13571" width="14.140625" style="394" customWidth="1"/>
    <col min="13572" max="13572" width="6.140625" style="394" customWidth="1"/>
    <col min="13573" max="13573" width="12.28515625" style="394" customWidth="1"/>
    <col min="13574" max="13574" width="15.42578125" style="394" customWidth="1"/>
    <col min="13575" max="13575" width="10.140625" style="394" customWidth="1"/>
    <col min="13576" max="13576" width="2" style="394" bestFit="1" customWidth="1"/>
    <col min="13577" max="13577" width="39.42578125" style="394" customWidth="1"/>
    <col min="13578" max="13824" width="9" style="394"/>
    <col min="13825" max="13825" width="7.42578125" style="394" bestFit="1" customWidth="1"/>
    <col min="13826" max="13826" width="37.42578125" style="394" customWidth="1"/>
    <col min="13827" max="13827" width="14.140625" style="394" customWidth="1"/>
    <col min="13828" max="13828" width="6.140625" style="394" customWidth="1"/>
    <col min="13829" max="13829" width="12.28515625" style="394" customWidth="1"/>
    <col min="13830" max="13830" width="15.42578125" style="394" customWidth="1"/>
    <col min="13831" max="13831" width="10.140625" style="394" customWidth="1"/>
    <col min="13832" max="13832" width="2" style="394" bestFit="1" customWidth="1"/>
    <col min="13833" max="13833" width="39.42578125" style="394" customWidth="1"/>
    <col min="13834" max="14080" width="9" style="394"/>
    <col min="14081" max="14081" width="7.42578125" style="394" bestFit="1" customWidth="1"/>
    <col min="14082" max="14082" width="37.42578125" style="394" customWidth="1"/>
    <col min="14083" max="14083" width="14.140625" style="394" customWidth="1"/>
    <col min="14084" max="14084" width="6.140625" style="394" customWidth="1"/>
    <col min="14085" max="14085" width="12.28515625" style="394" customWidth="1"/>
    <col min="14086" max="14086" width="15.42578125" style="394" customWidth="1"/>
    <col min="14087" max="14087" width="10.140625" style="394" customWidth="1"/>
    <col min="14088" max="14088" width="2" style="394" bestFit="1" customWidth="1"/>
    <col min="14089" max="14089" width="39.42578125" style="394" customWidth="1"/>
    <col min="14090" max="14336" width="9" style="394"/>
    <col min="14337" max="14337" width="7.42578125" style="394" bestFit="1" customWidth="1"/>
    <col min="14338" max="14338" width="37.42578125" style="394" customWidth="1"/>
    <col min="14339" max="14339" width="14.140625" style="394" customWidth="1"/>
    <col min="14340" max="14340" width="6.140625" style="394" customWidth="1"/>
    <col min="14341" max="14341" width="12.28515625" style="394" customWidth="1"/>
    <col min="14342" max="14342" width="15.42578125" style="394" customWidth="1"/>
    <col min="14343" max="14343" width="10.140625" style="394" customWidth="1"/>
    <col min="14344" max="14344" width="2" style="394" bestFit="1" customWidth="1"/>
    <col min="14345" max="14345" width="39.42578125" style="394" customWidth="1"/>
    <col min="14346" max="14592" width="9" style="394"/>
    <col min="14593" max="14593" width="7.42578125" style="394" bestFit="1" customWidth="1"/>
    <col min="14594" max="14594" width="37.42578125" style="394" customWidth="1"/>
    <col min="14595" max="14595" width="14.140625" style="394" customWidth="1"/>
    <col min="14596" max="14596" width="6.140625" style="394" customWidth="1"/>
    <col min="14597" max="14597" width="12.28515625" style="394" customWidth="1"/>
    <col min="14598" max="14598" width="15.42578125" style="394" customWidth="1"/>
    <col min="14599" max="14599" width="10.140625" style="394" customWidth="1"/>
    <col min="14600" max="14600" width="2" style="394" bestFit="1" customWidth="1"/>
    <col min="14601" max="14601" width="39.42578125" style="394" customWidth="1"/>
    <col min="14602" max="14848" width="9" style="394"/>
    <col min="14849" max="14849" width="7.42578125" style="394" bestFit="1" customWidth="1"/>
    <col min="14850" max="14850" width="37.42578125" style="394" customWidth="1"/>
    <col min="14851" max="14851" width="14.140625" style="394" customWidth="1"/>
    <col min="14852" max="14852" width="6.140625" style="394" customWidth="1"/>
    <col min="14853" max="14853" width="12.28515625" style="394" customWidth="1"/>
    <col min="14854" max="14854" width="15.42578125" style="394" customWidth="1"/>
    <col min="14855" max="14855" width="10.140625" style="394" customWidth="1"/>
    <col min="14856" max="14856" width="2" style="394" bestFit="1" customWidth="1"/>
    <col min="14857" max="14857" width="39.42578125" style="394" customWidth="1"/>
    <col min="14858" max="15104" width="9" style="394"/>
    <col min="15105" max="15105" width="7.42578125" style="394" bestFit="1" customWidth="1"/>
    <col min="15106" max="15106" width="37.42578125" style="394" customWidth="1"/>
    <col min="15107" max="15107" width="14.140625" style="394" customWidth="1"/>
    <col min="15108" max="15108" width="6.140625" style="394" customWidth="1"/>
    <col min="15109" max="15109" width="12.28515625" style="394" customWidth="1"/>
    <col min="15110" max="15110" width="15.42578125" style="394" customWidth="1"/>
    <col min="15111" max="15111" width="10.140625" style="394" customWidth="1"/>
    <col min="15112" max="15112" width="2" style="394" bestFit="1" customWidth="1"/>
    <col min="15113" max="15113" width="39.42578125" style="394" customWidth="1"/>
    <col min="15114" max="15360" width="9" style="394"/>
    <col min="15361" max="15361" width="7.42578125" style="394" bestFit="1" customWidth="1"/>
    <col min="15362" max="15362" width="37.42578125" style="394" customWidth="1"/>
    <col min="15363" max="15363" width="14.140625" style="394" customWidth="1"/>
    <col min="15364" max="15364" width="6.140625" style="394" customWidth="1"/>
    <col min="15365" max="15365" width="12.28515625" style="394" customWidth="1"/>
    <col min="15366" max="15366" width="15.42578125" style="394" customWidth="1"/>
    <col min="15367" max="15367" width="10.140625" style="394" customWidth="1"/>
    <col min="15368" max="15368" width="2" style="394" bestFit="1" customWidth="1"/>
    <col min="15369" max="15369" width="39.42578125" style="394" customWidth="1"/>
    <col min="15370" max="15616" width="9" style="394"/>
    <col min="15617" max="15617" width="7.42578125" style="394" bestFit="1" customWidth="1"/>
    <col min="15618" max="15618" width="37.42578125" style="394" customWidth="1"/>
    <col min="15619" max="15619" width="14.140625" style="394" customWidth="1"/>
    <col min="15620" max="15620" width="6.140625" style="394" customWidth="1"/>
    <col min="15621" max="15621" width="12.28515625" style="394" customWidth="1"/>
    <col min="15622" max="15622" width="15.42578125" style="394" customWidth="1"/>
    <col min="15623" max="15623" width="10.140625" style="394" customWidth="1"/>
    <col min="15624" max="15624" width="2" style="394" bestFit="1" customWidth="1"/>
    <col min="15625" max="15625" width="39.42578125" style="394" customWidth="1"/>
    <col min="15626" max="15872" width="9" style="394"/>
    <col min="15873" max="15873" width="7.42578125" style="394" bestFit="1" customWidth="1"/>
    <col min="15874" max="15874" width="37.42578125" style="394" customWidth="1"/>
    <col min="15875" max="15875" width="14.140625" style="394" customWidth="1"/>
    <col min="15876" max="15876" width="6.140625" style="394" customWidth="1"/>
    <col min="15877" max="15877" width="12.28515625" style="394" customWidth="1"/>
    <col min="15878" max="15878" width="15.42578125" style="394" customWidth="1"/>
    <col min="15879" max="15879" width="10.140625" style="394" customWidth="1"/>
    <col min="15880" max="15880" width="2" style="394" bestFit="1" customWidth="1"/>
    <col min="15881" max="15881" width="39.42578125" style="394" customWidth="1"/>
    <col min="15882" max="16128" width="9" style="394"/>
    <col min="16129" max="16129" width="7.42578125" style="394" bestFit="1" customWidth="1"/>
    <col min="16130" max="16130" width="37.42578125" style="394" customWidth="1"/>
    <col min="16131" max="16131" width="14.140625" style="394" customWidth="1"/>
    <col min="16132" max="16132" width="6.140625" style="394" customWidth="1"/>
    <col min="16133" max="16133" width="12.28515625" style="394" customWidth="1"/>
    <col min="16134" max="16134" width="15.42578125" style="394" customWidth="1"/>
    <col min="16135" max="16135" width="10.140625" style="394" customWidth="1"/>
    <col min="16136" max="16136" width="2" style="394" bestFit="1" customWidth="1"/>
    <col min="16137" max="16137" width="39.42578125" style="394" customWidth="1"/>
    <col min="16138" max="16384" width="9" style="394"/>
  </cols>
  <sheetData>
    <row r="1" spans="1:8" s="342" customFormat="1" ht="25.5">
      <c r="A1" s="337"/>
      <c r="B1" s="338" t="s">
        <v>241</v>
      </c>
      <c r="C1" s="463" t="s">
        <v>242</v>
      </c>
      <c r="D1" s="340" t="s">
        <v>243</v>
      </c>
      <c r="E1" s="339" t="s">
        <v>244</v>
      </c>
      <c r="F1" s="341" t="s">
        <v>245</v>
      </c>
    </row>
    <row r="2" spans="1:8" s="346" customFormat="1">
      <c r="A2" s="343"/>
      <c r="B2" s="344"/>
      <c r="C2" s="454"/>
      <c r="E2" s="345"/>
      <c r="F2" s="347"/>
    </row>
    <row r="3" spans="1:8" s="350" customFormat="1">
      <c r="A3" s="348" t="s">
        <v>179</v>
      </c>
      <c r="B3" s="349" t="s">
        <v>178</v>
      </c>
      <c r="C3" s="464"/>
      <c r="F3" s="351"/>
    </row>
    <row r="4" spans="1:8" s="352" customFormat="1">
      <c r="A4" s="343"/>
      <c r="B4" s="349"/>
      <c r="C4" s="465"/>
      <c r="F4" s="353"/>
    </row>
    <row r="5" spans="1:8" s="352" customFormat="1">
      <c r="A5" s="354" t="s">
        <v>246</v>
      </c>
      <c r="B5" s="355" t="s">
        <v>247</v>
      </c>
      <c r="C5" s="465"/>
      <c r="F5" s="353"/>
    </row>
    <row r="6" spans="1:8" s="346" customFormat="1">
      <c r="A6" s="343"/>
      <c r="B6" s="344"/>
      <c r="C6" s="466"/>
      <c r="F6" s="347"/>
    </row>
    <row r="7" spans="1:8" s="346" customFormat="1" ht="25.5">
      <c r="A7" s="343" t="s">
        <v>248</v>
      </c>
      <c r="B7" s="344" t="s">
        <v>249</v>
      </c>
      <c r="C7" s="466"/>
      <c r="F7" s="347"/>
    </row>
    <row r="8" spans="1:8" s="346" customFormat="1">
      <c r="A8" s="343"/>
      <c r="B8" s="344"/>
      <c r="C8" s="454">
        <f>K75+K77</f>
        <v>10.1</v>
      </c>
      <c r="D8" s="346" t="s">
        <v>115</v>
      </c>
      <c r="E8" s="356"/>
      <c r="F8" s="357">
        <f>C8*E8</f>
        <v>0</v>
      </c>
      <c r="G8" s="345"/>
      <c r="H8" s="345"/>
    </row>
    <row r="9" spans="1:8" s="346" customFormat="1">
      <c r="A9" s="343"/>
      <c r="B9" s="344"/>
      <c r="C9" s="456"/>
      <c r="E9" s="356"/>
      <c r="F9" s="357"/>
      <c r="G9" s="345"/>
      <c r="H9" s="345"/>
    </row>
    <row r="10" spans="1:8" s="352" customFormat="1">
      <c r="A10" s="354" t="s">
        <v>246</v>
      </c>
      <c r="B10" s="355" t="s">
        <v>250</v>
      </c>
      <c r="C10" s="455"/>
      <c r="E10" s="360"/>
      <c r="F10" s="361">
        <f>SUM(F7:F9)</f>
        <v>0</v>
      </c>
      <c r="G10" s="345"/>
    </row>
    <row r="11" spans="1:8" s="352" customFormat="1">
      <c r="A11" s="354"/>
      <c r="B11" s="355"/>
      <c r="C11" s="455"/>
      <c r="E11" s="360"/>
      <c r="F11" s="361"/>
      <c r="G11" s="345"/>
    </row>
    <row r="12" spans="1:8" s="352" customFormat="1" ht="25.5">
      <c r="A12" s="354" t="s">
        <v>251</v>
      </c>
      <c r="B12" s="355" t="s">
        <v>817</v>
      </c>
      <c r="C12" s="455"/>
      <c r="E12" s="360"/>
      <c r="F12" s="361"/>
      <c r="G12" s="345"/>
    </row>
    <row r="13" spans="1:8" s="346" customFormat="1">
      <c r="A13" s="364"/>
      <c r="B13" s="344"/>
      <c r="C13" s="454"/>
      <c r="E13" s="356"/>
      <c r="F13" s="357"/>
      <c r="G13" s="345"/>
      <c r="H13" s="345"/>
    </row>
    <row r="14" spans="1:8" s="346" customFormat="1" ht="38.25">
      <c r="A14" s="364" t="s">
        <v>253</v>
      </c>
      <c r="B14" s="344" t="s">
        <v>254</v>
      </c>
      <c r="C14" s="454"/>
      <c r="E14" s="356"/>
      <c r="F14" s="357"/>
      <c r="G14" s="345"/>
      <c r="H14" s="345"/>
    </row>
    <row r="15" spans="1:8" s="346" customFormat="1">
      <c r="A15" s="364"/>
      <c r="B15" s="344"/>
      <c r="C15" s="454">
        <f>ROUND(C8/20,0)</f>
        <v>1</v>
      </c>
      <c r="D15" s="346" t="s">
        <v>5</v>
      </c>
      <c r="E15" s="356"/>
      <c r="F15" s="357">
        <f>C15*E15</f>
        <v>0</v>
      </c>
      <c r="G15" s="345"/>
      <c r="H15" s="345"/>
    </row>
    <row r="16" spans="1:8" s="352" customFormat="1">
      <c r="A16" s="354" t="s">
        <v>252</v>
      </c>
      <c r="B16" s="355" t="s">
        <v>256</v>
      </c>
      <c r="C16" s="455"/>
      <c r="E16" s="360"/>
      <c r="F16" s="361">
        <f>SUM(F13:F15)</f>
        <v>0</v>
      </c>
      <c r="G16" s="345"/>
    </row>
    <row r="17" spans="1:256" s="374" customFormat="1">
      <c r="A17" s="367"/>
      <c r="B17" s="368"/>
      <c r="C17" s="467"/>
      <c r="D17" s="370"/>
      <c r="E17" s="371"/>
      <c r="F17" s="372"/>
      <c r="G17" s="345"/>
      <c r="H17" s="373"/>
    </row>
    <row r="18" spans="1:256" s="350" customFormat="1">
      <c r="A18" s="348" t="s">
        <v>179</v>
      </c>
      <c r="B18" s="349" t="s">
        <v>257</v>
      </c>
      <c r="C18" s="468"/>
      <c r="E18" s="376"/>
      <c r="F18" s="377">
        <f>F10+F16</f>
        <v>0</v>
      </c>
      <c r="G18" s="345"/>
    </row>
    <row r="19" spans="1:256" s="346" customFormat="1">
      <c r="A19" s="343"/>
      <c r="B19" s="378"/>
      <c r="C19" s="456"/>
      <c r="D19" s="379"/>
      <c r="E19" s="356"/>
      <c r="F19" s="380"/>
      <c r="G19" s="345"/>
      <c r="H19" s="345"/>
    </row>
    <row r="20" spans="1:256" s="350" customFormat="1">
      <c r="A20" s="348" t="s">
        <v>177</v>
      </c>
      <c r="B20" s="349" t="s">
        <v>176</v>
      </c>
      <c r="C20" s="468"/>
      <c r="E20" s="376"/>
      <c r="F20" s="377"/>
      <c r="G20" s="381"/>
    </row>
    <row r="21" spans="1:256" s="389" customFormat="1" ht="11.25">
      <c r="A21" s="382"/>
      <c r="B21" s="383"/>
      <c r="C21" s="469"/>
      <c r="D21" s="385"/>
      <c r="E21" s="386"/>
      <c r="F21" s="387"/>
      <c r="G21" s="381"/>
      <c r="H21" s="388"/>
    </row>
    <row r="22" spans="1:256" s="390" customFormat="1">
      <c r="A22" s="354" t="s">
        <v>258</v>
      </c>
      <c r="B22" s="355" t="s">
        <v>470</v>
      </c>
      <c r="C22" s="455"/>
      <c r="D22" s="352"/>
      <c r="E22" s="360"/>
      <c r="F22" s="361"/>
      <c r="G22" s="381"/>
      <c r="IV22" s="391"/>
    </row>
    <row r="23" spans="1:256" s="390" customFormat="1">
      <c r="A23" s="354"/>
      <c r="B23" s="355"/>
      <c r="C23" s="455"/>
      <c r="D23" s="352"/>
      <c r="E23" s="360"/>
      <c r="F23" s="361"/>
      <c r="G23" s="381"/>
      <c r="J23" s="390" t="s">
        <v>221</v>
      </c>
      <c r="K23" s="390" t="s">
        <v>222</v>
      </c>
      <c r="L23" s="390" t="s">
        <v>223</v>
      </c>
      <c r="M23" s="390" t="s">
        <v>224</v>
      </c>
      <c r="N23" s="390" t="s">
        <v>225</v>
      </c>
      <c r="O23" s="390" t="s">
        <v>226</v>
      </c>
      <c r="P23" s="390" t="s">
        <v>227</v>
      </c>
      <c r="Q23" s="390" t="s">
        <v>228</v>
      </c>
      <c r="R23" s="390" t="s">
        <v>229</v>
      </c>
      <c r="S23" s="390" t="s">
        <v>230</v>
      </c>
      <c r="T23" s="390" t="s">
        <v>231</v>
      </c>
      <c r="U23" s="390" t="s">
        <v>232</v>
      </c>
      <c r="V23" s="390" t="s">
        <v>233</v>
      </c>
      <c r="W23" s="390" t="s">
        <v>234</v>
      </c>
      <c r="X23" s="390" t="s">
        <v>235</v>
      </c>
      <c r="Y23" s="390" t="s">
        <v>236</v>
      </c>
      <c r="Z23" s="390" t="s">
        <v>237</v>
      </c>
      <c r="IV23" s="391"/>
    </row>
    <row r="24" spans="1:256" s="390" customFormat="1" ht="38.25">
      <c r="A24" s="392"/>
      <c r="B24" s="393" t="s">
        <v>260</v>
      </c>
      <c r="C24" s="456"/>
      <c r="D24" s="346"/>
      <c r="E24" s="356"/>
      <c r="F24" s="357"/>
      <c r="G24" s="381"/>
      <c r="J24" s="390" t="s">
        <v>314</v>
      </c>
      <c r="K24" s="430"/>
      <c r="L24" s="430">
        <v>0</v>
      </c>
      <c r="M24" s="430">
        <v>0</v>
      </c>
      <c r="N24" s="430">
        <v>0</v>
      </c>
      <c r="O24" s="430">
        <v>260.8</v>
      </c>
      <c r="P24" s="430">
        <v>244.78</v>
      </c>
      <c r="Q24" s="430">
        <v>16.02</v>
      </c>
      <c r="R24" s="430">
        <v>0</v>
      </c>
      <c r="S24" s="430">
        <v>0</v>
      </c>
      <c r="T24" s="430">
        <v>0</v>
      </c>
      <c r="U24" s="430">
        <v>260.14999999999998</v>
      </c>
      <c r="V24" s="430">
        <v>220.73</v>
      </c>
      <c r="W24" s="430">
        <v>0</v>
      </c>
      <c r="X24" s="430">
        <v>31.94</v>
      </c>
      <c r="Y24" s="430">
        <v>7.48</v>
      </c>
      <c r="Z24" s="430">
        <v>220.73</v>
      </c>
      <c r="IV24" s="391"/>
    </row>
    <row r="25" spans="1:256" s="390" customFormat="1">
      <c r="A25" s="364"/>
      <c r="B25" s="393" t="s">
        <v>261</v>
      </c>
      <c r="C25" s="454">
        <f>C8*1</f>
        <v>10.1</v>
      </c>
      <c r="D25" s="346"/>
      <c r="E25" s="356"/>
      <c r="F25" s="357"/>
      <c r="G25" s="381"/>
      <c r="J25" s="390" t="s">
        <v>305</v>
      </c>
      <c r="K25" s="430"/>
      <c r="L25" s="430">
        <v>0</v>
      </c>
      <c r="M25" s="430">
        <v>0</v>
      </c>
      <c r="N25" s="430">
        <v>0</v>
      </c>
      <c r="O25" s="430">
        <v>235.53</v>
      </c>
      <c r="P25" s="430">
        <v>219.5</v>
      </c>
      <c r="Q25" s="430">
        <v>16.02</v>
      </c>
      <c r="R25" s="430">
        <v>0</v>
      </c>
      <c r="S25" s="430">
        <v>0</v>
      </c>
      <c r="T25" s="430">
        <v>0</v>
      </c>
      <c r="U25" s="430">
        <v>234.89</v>
      </c>
      <c r="V25" s="430">
        <v>202.54</v>
      </c>
      <c r="W25" s="430">
        <v>0</v>
      </c>
      <c r="X25" s="430">
        <v>26.25</v>
      </c>
      <c r="Y25" s="430">
        <v>6.1</v>
      </c>
      <c r="Z25" s="430">
        <v>202.54</v>
      </c>
      <c r="IV25" s="391"/>
    </row>
    <row r="26" spans="1:256" s="390" customFormat="1">
      <c r="A26" s="364" t="s">
        <v>262</v>
      </c>
      <c r="B26" s="393" t="s">
        <v>263</v>
      </c>
      <c r="C26" s="454">
        <f>C25*0.8</f>
        <v>8.08</v>
      </c>
      <c r="D26" s="394" t="s">
        <v>108</v>
      </c>
      <c r="E26" s="356"/>
      <c r="F26" s="357">
        <f>C26*E26</f>
        <v>0</v>
      </c>
      <c r="G26" s="381"/>
      <c r="J26" s="390" t="s">
        <v>307</v>
      </c>
      <c r="K26" s="430"/>
      <c r="L26" s="430">
        <v>0</v>
      </c>
      <c r="M26" s="430">
        <v>0</v>
      </c>
      <c r="N26" s="430">
        <v>0</v>
      </c>
      <c r="O26" s="430">
        <v>0</v>
      </c>
      <c r="P26" s="430">
        <v>0</v>
      </c>
      <c r="Q26" s="430">
        <v>0</v>
      </c>
      <c r="R26" s="430">
        <v>0</v>
      </c>
      <c r="S26" s="430">
        <v>0</v>
      </c>
      <c r="T26" s="430">
        <v>0</v>
      </c>
      <c r="U26" s="430">
        <v>0</v>
      </c>
      <c r="V26" s="430">
        <v>0</v>
      </c>
      <c r="W26" s="430">
        <v>0</v>
      </c>
      <c r="X26" s="430">
        <v>0</v>
      </c>
      <c r="Y26" s="430">
        <v>0</v>
      </c>
      <c r="Z26" s="430">
        <v>0</v>
      </c>
      <c r="IV26" s="391"/>
    </row>
    <row r="27" spans="1:256" s="390" customFormat="1">
      <c r="A27" s="364" t="s">
        <v>264</v>
      </c>
      <c r="B27" s="393" t="s">
        <v>265</v>
      </c>
      <c r="C27" s="454">
        <f>C25*0.2</f>
        <v>2.02</v>
      </c>
      <c r="D27" s="394" t="s">
        <v>108</v>
      </c>
      <c r="E27" s="356"/>
      <c r="F27" s="357">
        <f>C27*E27</f>
        <v>0</v>
      </c>
      <c r="G27" s="381"/>
      <c r="J27" s="390" t="s">
        <v>309</v>
      </c>
      <c r="K27" s="430"/>
      <c r="L27" s="430">
        <v>0</v>
      </c>
      <c r="M27" s="430">
        <v>0</v>
      </c>
      <c r="N27" s="430">
        <v>0</v>
      </c>
      <c r="O27" s="430">
        <v>6.84</v>
      </c>
      <c r="P27" s="430">
        <v>6.84</v>
      </c>
      <c r="Q27" s="430">
        <v>0</v>
      </c>
      <c r="R27" s="430">
        <v>0</v>
      </c>
      <c r="S27" s="430">
        <v>0</v>
      </c>
      <c r="T27" s="430">
        <v>0</v>
      </c>
      <c r="U27" s="430">
        <v>6.83</v>
      </c>
      <c r="V27" s="430">
        <v>4.8899999999999997</v>
      </c>
      <c r="W27" s="430">
        <v>0</v>
      </c>
      <c r="X27" s="430">
        <v>1.57</v>
      </c>
      <c r="Y27" s="430">
        <v>0.38</v>
      </c>
      <c r="Z27" s="430">
        <v>4.8899999999999997</v>
      </c>
      <c r="IV27" s="391"/>
    </row>
    <row r="28" spans="1:256" s="390" customFormat="1">
      <c r="A28" s="364"/>
      <c r="B28" s="393"/>
      <c r="C28" s="454"/>
      <c r="D28" s="394"/>
      <c r="E28" s="356"/>
      <c r="F28" s="357"/>
      <c r="G28" s="381"/>
      <c r="J28" s="390" t="s">
        <v>310</v>
      </c>
      <c r="K28" s="430"/>
      <c r="L28" s="430">
        <v>0</v>
      </c>
      <c r="M28" s="430">
        <v>0</v>
      </c>
      <c r="N28" s="430">
        <v>0</v>
      </c>
      <c r="O28" s="430">
        <v>4.7</v>
      </c>
      <c r="P28" s="430">
        <v>4.7</v>
      </c>
      <c r="Q28" s="430">
        <v>0</v>
      </c>
      <c r="R28" s="430">
        <v>0</v>
      </c>
      <c r="S28" s="430">
        <v>0</v>
      </c>
      <c r="T28" s="430">
        <v>0</v>
      </c>
      <c r="U28" s="430">
        <v>4.7</v>
      </c>
      <c r="V28" s="430">
        <v>2.95</v>
      </c>
      <c r="W28" s="430">
        <v>0</v>
      </c>
      <c r="X28" s="430">
        <v>1.4</v>
      </c>
      <c r="Y28" s="430">
        <v>0.34</v>
      </c>
      <c r="Z28" s="430">
        <v>2.95</v>
      </c>
      <c r="IV28" s="391"/>
    </row>
    <row r="29" spans="1:256" s="390" customFormat="1">
      <c r="A29" s="364"/>
      <c r="B29" s="393"/>
      <c r="C29" s="454"/>
      <c r="D29" s="394"/>
      <c r="E29" s="356"/>
      <c r="F29" s="357"/>
      <c r="G29" s="381"/>
      <c r="J29" s="390" t="s">
        <v>311</v>
      </c>
      <c r="K29" s="430"/>
      <c r="L29" s="430">
        <v>0</v>
      </c>
      <c r="M29" s="430">
        <v>0</v>
      </c>
      <c r="N29" s="430">
        <v>0</v>
      </c>
      <c r="O29" s="430">
        <v>7.62</v>
      </c>
      <c r="P29" s="430">
        <v>7.62</v>
      </c>
      <c r="Q29" s="430">
        <v>0</v>
      </c>
      <c r="R29" s="430">
        <v>0</v>
      </c>
      <c r="S29" s="430">
        <v>0</v>
      </c>
      <c r="T29" s="430">
        <v>0</v>
      </c>
      <c r="U29" s="430">
        <v>7.62</v>
      </c>
      <c r="V29" s="430">
        <v>5.66</v>
      </c>
      <c r="W29" s="430">
        <v>0</v>
      </c>
      <c r="X29" s="430">
        <v>1.58</v>
      </c>
      <c r="Y29" s="430">
        <v>0.38</v>
      </c>
      <c r="Z29" s="430">
        <v>5.66</v>
      </c>
      <c r="IV29" s="391"/>
    </row>
    <row r="30" spans="1:256" s="390" customFormat="1">
      <c r="A30" s="392"/>
      <c r="B30" s="393"/>
      <c r="C30" s="456"/>
      <c r="D30" s="346"/>
      <c r="E30" s="356"/>
      <c r="F30" s="357"/>
      <c r="G30" s="381"/>
      <c r="J30" s="390" t="s">
        <v>312</v>
      </c>
      <c r="K30" s="430"/>
      <c r="L30" s="430">
        <v>0</v>
      </c>
      <c r="M30" s="430">
        <v>0</v>
      </c>
      <c r="N30" s="430">
        <v>0</v>
      </c>
      <c r="O30" s="430">
        <v>6.12</v>
      </c>
      <c r="P30" s="430">
        <v>6.12</v>
      </c>
      <c r="Q30" s="430">
        <v>0</v>
      </c>
      <c r="R30" s="430">
        <v>0</v>
      </c>
      <c r="S30" s="430">
        <v>0</v>
      </c>
      <c r="T30" s="430">
        <v>0</v>
      </c>
      <c r="U30" s="430">
        <v>6.12</v>
      </c>
      <c r="V30" s="430">
        <v>4.7</v>
      </c>
      <c r="W30" s="430">
        <v>0</v>
      </c>
      <c r="X30" s="430">
        <v>1.1399999999999999</v>
      </c>
      <c r="Y30" s="430">
        <v>0.28000000000000003</v>
      </c>
      <c r="Z30" s="430">
        <v>4.7</v>
      </c>
      <c r="IV30" s="391"/>
    </row>
    <row r="31" spans="1:256" s="390" customFormat="1">
      <c r="A31" s="364"/>
      <c r="B31" s="393"/>
      <c r="C31" s="454"/>
      <c r="D31" s="346"/>
      <c r="E31" s="356"/>
      <c r="F31" s="357"/>
      <c r="G31" s="381"/>
      <c r="J31" s="390" t="s">
        <v>313</v>
      </c>
      <c r="K31" s="430"/>
      <c r="L31" s="430">
        <v>0</v>
      </c>
      <c r="M31" s="430">
        <v>0</v>
      </c>
      <c r="N31" s="430">
        <v>0</v>
      </c>
      <c r="O31" s="430">
        <v>0</v>
      </c>
      <c r="P31" s="430">
        <v>0</v>
      </c>
      <c r="Q31" s="430">
        <v>0</v>
      </c>
      <c r="R31" s="430">
        <v>0</v>
      </c>
      <c r="S31" s="430">
        <v>0</v>
      </c>
      <c r="T31" s="430">
        <v>0</v>
      </c>
      <c r="U31" s="430">
        <v>0</v>
      </c>
      <c r="V31" s="430">
        <v>0</v>
      </c>
      <c r="W31" s="430">
        <v>0</v>
      </c>
      <c r="X31" s="430">
        <v>0</v>
      </c>
      <c r="Y31" s="430">
        <v>0</v>
      </c>
      <c r="Z31" s="430">
        <v>0</v>
      </c>
      <c r="IV31" s="391"/>
    </row>
    <row r="32" spans="1:256" s="390" customFormat="1">
      <c r="A32" s="364"/>
      <c r="B32" s="393"/>
      <c r="C32" s="454"/>
      <c r="D32" s="394"/>
      <c r="E32" s="356"/>
      <c r="F32" s="357"/>
      <c r="G32" s="381"/>
      <c r="L32" s="390">
        <f>SUM(L24:L31)</f>
        <v>0</v>
      </c>
      <c r="M32" s="390">
        <f t="shared" ref="M32:Z32" si="0">SUM(M24:M31)</f>
        <v>0</v>
      </c>
      <c r="N32" s="390">
        <f t="shared" si="0"/>
        <v>0</v>
      </c>
      <c r="O32" s="390">
        <f t="shared" si="0"/>
        <v>521.61</v>
      </c>
      <c r="P32" s="390">
        <f t="shared" si="0"/>
        <v>489.55999999999995</v>
      </c>
      <c r="Q32" s="390">
        <f t="shared" si="0"/>
        <v>32.04</v>
      </c>
      <c r="R32" s="390">
        <f t="shared" si="0"/>
        <v>0</v>
      </c>
      <c r="S32" s="390">
        <f t="shared" si="0"/>
        <v>0</v>
      </c>
      <c r="T32" s="390">
        <f t="shared" si="0"/>
        <v>0</v>
      </c>
      <c r="U32" s="390">
        <f t="shared" si="0"/>
        <v>520.30999999999995</v>
      </c>
      <c r="V32" s="390">
        <f t="shared" si="0"/>
        <v>441.46999999999997</v>
      </c>
      <c r="W32" s="390">
        <f t="shared" si="0"/>
        <v>0</v>
      </c>
      <c r="X32" s="390">
        <f t="shared" si="0"/>
        <v>63.879999999999995</v>
      </c>
      <c r="Y32" s="390">
        <f t="shared" si="0"/>
        <v>14.96</v>
      </c>
      <c r="Z32" s="390">
        <f t="shared" si="0"/>
        <v>441.46999999999997</v>
      </c>
      <c r="IV32" s="391"/>
    </row>
    <row r="33" spans="1:256" s="389" customFormat="1">
      <c r="A33" s="354" t="s">
        <v>258</v>
      </c>
      <c r="B33" s="355" t="s">
        <v>266</v>
      </c>
      <c r="C33" s="455"/>
      <c r="D33" s="352"/>
      <c r="E33" s="360"/>
      <c r="F33" s="361">
        <f>SUM(F23:F32)</f>
        <v>0</v>
      </c>
      <c r="G33" s="381"/>
      <c r="H33" s="390"/>
    </row>
    <row r="34" spans="1:256" s="389" customFormat="1">
      <c r="A34" s="395"/>
      <c r="B34" s="396"/>
      <c r="C34" s="457"/>
      <c r="D34" s="394"/>
      <c r="E34" s="398"/>
      <c r="F34" s="399"/>
      <c r="G34" s="381"/>
      <c r="H34" s="388"/>
    </row>
    <row r="35" spans="1:256" s="390" customFormat="1">
      <c r="A35" s="354" t="s">
        <v>267</v>
      </c>
      <c r="B35" s="355" t="s">
        <v>268</v>
      </c>
      <c r="C35" s="455"/>
      <c r="D35" s="352"/>
      <c r="E35" s="360"/>
      <c r="F35" s="361"/>
      <c r="G35" s="381"/>
      <c r="IV35" s="391"/>
    </row>
    <row r="36" spans="1:256" s="390" customFormat="1">
      <c r="A36" s="354"/>
      <c r="B36" s="355"/>
      <c r="C36" s="455"/>
      <c r="D36" s="352"/>
      <c r="E36" s="360"/>
      <c r="F36" s="361"/>
      <c r="G36" s="381"/>
      <c r="I36" s="390" t="s">
        <v>221</v>
      </c>
      <c r="J36" s="390" t="s">
        <v>222</v>
      </c>
      <c r="K36" s="390" t="s">
        <v>223</v>
      </c>
      <c r="L36" s="390" t="s">
        <v>224</v>
      </c>
      <c r="M36" s="390" t="s">
        <v>225</v>
      </c>
      <c r="N36" s="390" t="s">
        <v>226</v>
      </c>
      <c r="O36" s="390" t="s">
        <v>227</v>
      </c>
      <c r="P36" s="390" t="s">
        <v>228</v>
      </c>
      <c r="Q36" s="390" t="s">
        <v>229</v>
      </c>
      <c r="R36" s="390" t="s">
        <v>230</v>
      </c>
      <c r="S36" s="390" t="s">
        <v>231</v>
      </c>
      <c r="T36" s="390" t="s">
        <v>232</v>
      </c>
      <c r="U36" s="390" t="s">
        <v>233</v>
      </c>
      <c r="V36" s="390" t="s">
        <v>234</v>
      </c>
      <c r="W36" s="390" t="s">
        <v>235</v>
      </c>
      <c r="X36" s="390" t="s">
        <v>236</v>
      </c>
      <c r="Y36" s="390" t="s">
        <v>237</v>
      </c>
      <c r="IV36" s="391"/>
    </row>
    <row r="37" spans="1:256" s="390" customFormat="1">
      <c r="A37" s="364"/>
      <c r="B37" s="393"/>
      <c r="C37" s="456"/>
      <c r="D37" s="346"/>
      <c r="E37" s="400"/>
      <c r="F37" s="401"/>
      <c r="G37" s="381"/>
      <c r="I37" s="390" t="s">
        <v>490</v>
      </c>
      <c r="K37" s="390">
        <v>0</v>
      </c>
      <c r="L37" s="390">
        <v>0.98</v>
      </c>
      <c r="M37" s="390">
        <v>0</v>
      </c>
      <c r="N37" s="390">
        <v>14.59</v>
      </c>
      <c r="O37" s="390">
        <v>14.59</v>
      </c>
      <c r="P37" s="390">
        <v>0</v>
      </c>
      <c r="Q37" s="390">
        <v>0</v>
      </c>
      <c r="R37" s="390">
        <v>0</v>
      </c>
      <c r="S37" s="390">
        <v>0</v>
      </c>
      <c r="T37" s="390">
        <v>14.53</v>
      </c>
      <c r="U37" s="390">
        <v>6.64</v>
      </c>
      <c r="V37" s="390">
        <v>3.64</v>
      </c>
      <c r="W37" s="390">
        <v>3.44</v>
      </c>
      <c r="X37" s="390">
        <v>0.81</v>
      </c>
      <c r="Y37" s="390">
        <v>6.64</v>
      </c>
      <c r="IV37" s="391"/>
    </row>
    <row r="38" spans="1:256" s="390" customFormat="1" ht="63.75">
      <c r="A38" s="364" t="s">
        <v>270</v>
      </c>
      <c r="B38" s="393" t="s">
        <v>271</v>
      </c>
      <c r="C38" s="454"/>
      <c r="D38" s="346"/>
      <c r="E38" s="400"/>
      <c r="F38" s="401"/>
      <c r="G38" s="381"/>
      <c r="IV38" s="391"/>
    </row>
    <row r="39" spans="1:256" s="390" customFormat="1">
      <c r="A39" s="402"/>
      <c r="B39" s="393"/>
      <c r="C39" s="454">
        <f>X37</f>
        <v>0.81</v>
      </c>
      <c r="D39" s="346" t="s">
        <v>108</v>
      </c>
      <c r="E39" s="356"/>
      <c r="F39" s="357">
        <f>C39*E39</f>
        <v>0</v>
      </c>
      <c r="G39" s="381"/>
      <c r="IV39" s="391"/>
    </row>
    <row r="40" spans="1:256" s="390" customFormat="1">
      <c r="A40" s="402"/>
      <c r="B40" s="393"/>
      <c r="C40" s="456"/>
      <c r="D40" s="346"/>
      <c r="E40" s="356"/>
      <c r="F40" s="357"/>
      <c r="G40" s="381"/>
      <c r="IV40" s="391"/>
    </row>
    <row r="41" spans="1:256" s="390" customFormat="1" ht="89.25">
      <c r="A41" s="364" t="s">
        <v>272</v>
      </c>
      <c r="B41" s="393" t="s">
        <v>273</v>
      </c>
      <c r="C41" s="456"/>
      <c r="D41" s="346"/>
      <c r="E41" s="400"/>
      <c r="F41" s="401"/>
      <c r="G41" s="381"/>
      <c r="IV41" s="391"/>
    </row>
    <row r="42" spans="1:256" s="390" customFormat="1">
      <c r="A42" s="402"/>
      <c r="B42" s="393"/>
      <c r="C42" s="454">
        <f>W37</f>
        <v>3.44</v>
      </c>
      <c r="D42" s="346" t="s">
        <v>108</v>
      </c>
      <c r="E42" s="356"/>
      <c r="F42" s="357">
        <f>C42*E42</f>
        <v>0</v>
      </c>
      <c r="G42" s="381"/>
      <c r="IV42" s="391"/>
    </row>
    <row r="43" spans="1:256" s="390" customFormat="1">
      <c r="A43" s="402"/>
      <c r="B43" s="393"/>
      <c r="C43" s="454"/>
      <c r="D43" s="346"/>
      <c r="E43" s="356"/>
      <c r="F43" s="357"/>
      <c r="G43" s="381"/>
      <c r="IV43" s="391"/>
    </row>
    <row r="44" spans="1:256" s="390" customFormat="1" ht="76.5">
      <c r="A44" s="364" t="s">
        <v>274</v>
      </c>
      <c r="B44" s="393" t="s">
        <v>275</v>
      </c>
      <c r="C44" s="454"/>
      <c r="D44" s="346"/>
      <c r="E44" s="400"/>
      <c r="F44" s="401"/>
      <c r="G44" s="381"/>
      <c r="IV44" s="391"/>
    </row>
    <row r="45" spans="1:256" s="390" customFormat="1">
      <c r="A45" s="402"/>
      <c r="B45" s="393"/>
      <c r="C45" s="454">
        <f>C25-C39-C42</f>
        <v>5.85</v>
      </c>
      <c r="D45" s="346" t="s">
        <v>108</v>
      </c>
      <c r="E45" s="356"/>
      <c r="F45" s="357">
        <f>C45*E45</f>
        <v>0</v>
      </c>
      <c r="G45" s="381"/>
      <c r="IV45" s="391"/>
    </row>
    <row r="46" spans="1:256" s="390" customFormat="1">
      <c r="A46" s="402"/>
      <c r="B46" s="393"/>
      <c r="C46" s="454"/>
      <c r="D46" s="346"/>
      <c r="E46" s="356"/>
      <c r="F46" s="357"/>
      <c r="G46" s="381"/>
      <c r="IV46" s="391"/>
    </row>
    <row r="47" spans="1:256" s="390" customFormat="1" ht="38.25">
      <c r="A47" s="364" t="s">
        <v>276</v>
      </c>
      <c r="B47" s="362" t="s">
        <v>277</v>
      </c>
      <c r="C47" s="454"/>
      <c r="D47" s="346"/>
      <c r="E47" s="365"/>
      <c r="F47" s="366"/>
      <c r="G47" s="381"/>
      <c r="IV47" s="391"/>
    </row>
    <row r="48" spans="1:256" s="390" customFormat="1">
      <c r="A48" s="364"/>
      <c r="B48" s="362"/>
      <c r="C48" s="454">
        <v>0</v>
      </c>
      <c r="D48" s="346" t="s">
        <v>105</v>
      </c>
      <c r="E48" s="365"/>
      <c r="F48" s="366">
        <f>C48*E48</f>
        <v>0</v>
      </c>
      <c r="G48" s="381"/>
      <c r="IV48" s="391"/>
    </row>
    <row r="49" spans="1:256" s="390" customFormat="1">
      <c r="A49" s="364"/>
      <c r="B49" s="362"/>
      <c r="C49" s="454"/>
      <c r="D49" s="346"/>
      <c r="E49" s="365"/>
      <c r="F49" s="366"/>
      <c r="G49" s="381"/>
      <c r="IV49" s="391"/>
    </row>
    <row r="50" spans="1:256" s="389" customFormat="1" ht="51">
      <c r="A50" s="364" t="s">
        <v>278</v>
      </c>
      <c r="B50" s="393" t="s">
        <v>279</v>
      </c>
      <c r="C50" s="454"/>
      <c r="D50" s="346"/>
      <c r="E50" s="400"/>
      <c r="F50" s="401"/>
      <c r="G50" s="381"/>
      <c r="H50" s="381"/>
    </row>
    <row r="51" spans="1:256" s="389" customFormat="1">
      <c r="A51" s="402"/>
      <c r="B51" s="393"/>
      <c r="C51" s="454">
        <f>(C25+C31-C45)*1.4</f>
        <v>5.9499999999999993</v>
      </c>
      <c r="D51" s="346" t="s">
        <v>108</v>
      </c>
      <c r="E51" s="356"/>
      <c r="F51" s="357">
        <f>C51*E51</f>
        <v>0</v>
      </c>
      <c r="G51" s="381"/>
      <c r="H51" s="381"/>
    </row>
    <row r="52" spans="1:256" s="389" customFormat="1">
      <c r="A52" s="402"/>
      <c r="B52" s="393"/>
      <c r="C52" s="454"/>
      <c r="D52" s="346"/>
      <c r="E52" s="356"/>
      <c r="F52" s="357"/>
      <c r="G52" s="381"/>
      <c r="H52" s="388"/>
    </row>
    <row r="53" spans="1:256" s="389" customFormat="1">
      <c r="A53" s="364" t="s">
        <v>280</v>
      </c>
      <c r="B53" s="393" t="s">
        <v>281</v>
      </c>
      <c r="C53" s="454"/>
      <c r="D53" s="346"/>
      <c r="E53" s="400"/>
      <c r="F53" s="401"/>
      <c r="G53" s="381"/>
      <c r="H53" s="388"/>
    </row>
    <row r="54" spans="1:256" s="389" customFormat="1">
      <c r="A54" s="402"/>
      <c r="B54" s="393"/>
      <c r="C54" s="454">
        <v>5</v>
      </c>
      <c r="D54" s="346" t="s">
        <v>71</v>
      </c>
      <c r="E54" s="356"/>
      <c r="F54" s="357">
        <f>C54*E54</f>
        <v>0</v>
      </c>
      <c r="G54" s="381"/>
      <c r="H54" s="388"/>
    </row>
    <row r="55" spans="1:256" s="389" customFormat="1">
      <c r="A55" s="402"/>
      <c r="B55" s="393"/>
      <c r="C55" s="456"/>
      <c r="D55" s="346"/>
      <c r="E55" s="356"/>
      <c r="F55" s="357"/>
      <c r="G55" s="381"/>
      <c r="H55" s="388"/>
    </row>
    <row r="56" spans="1:256" s="389" customFormat="1">
      <c r="A56" s="354" t="s">
        <v>267</v>
      </c>
      <c r="B56" s="355" t="s">
        <v>282</v>
      </c>
      <c r="C56" s="455"/>
      <c r="D56" s="352"/>
      <c r="E56" s="360"/>
      <c r="F56" s="361">
        <f>SUM(F37:F54)</f>
        <v>0</v>
      </c>
      <c r="G56" s="381"/>
      <c r="H56" s="390"/>
    </row>
    <row r="57" spans="1:256" s="389" customFormat="1">
      <c r="A57" s="354"/>
      <c r="B57" s="355"/>
      <c r="C57" s="455"/>
      <c r="D57" s="352"/>
      <c r="E57" s="360"/>
      <c r="F57" s="361"/>
      <c r="G57" s="381"/>
      <c r="H57" s="390"/>
    </row>
    <row r="58" spans="1:256" s="389" customFormat="1" ht="38.25">
      <c r="A58" s="364" t="s">
        <v>838</v>
      </c>
      <c r="B58" s="393" t="s">
        <v>284</v>
      </c>
      <c r="C58" s="456"/>
      <c r="D58" s="394"/>
      <c r="E58" s="356"/>
      <c r="F58" s="357"/>
      <c r="G58" s="381"/>
      <c r="H58" s="388"/>
    </row>
    <row r="59" spans="1:256" s="389" customFormat="1">
      <c r="A59" s="395"/>
      <c r="B59" s="396"/>
      <c r="C59" s="470"/>
      <c r="D59" s="394"/>
      <c r="E59" s="404"/>
      <c r="F59" s="715">
        <f>SUM(F56,F33)*0.05</f>
        <v>0</v>
      </c>
      <c r="G59" s="381"/>
      <c r="H59" s="388"/>
    </row>
    <row r="60" spans="1:256" s="389" customFormat="1">
      <c r="A60" s="354"/>
      <c r="B60" s="355"/>
      <c r="C60" s="455"/>
      <c r="D60" s="352"/>
      <c r="E60" s="360"/>
      <c r="F60" s="361"/>
      <c r="G60" s="381"/>
      <c r="H60" s="390"/>
    </row>
    <row r="61" spans="1:256" s="350" customFormat="1">
      <c r="A61" s="348" t="s">
        <v>177</v>
      </c>
      <c r="B61" s="349" t="s">
        <v>285</v>
      </c>
      <c r="C61" s="468"/>
      <c r="E61" s="376"/>
      <c r="F61" s="377">
        <f>F59+F56+F33</f>
        <v>0</v>
      </c>
      <c r="G61" s="345"/>
    </row>
    <row r="62" spans="1:256" s="350" customFormat="1">
      <c r="A62" s="348"/>
      <c r="B62" s="349"/>
      <c r="C62" s="468"/>
      <c r="E62" s="376"/>
      <c r="F62" s="377"/>
      <c r="G62" s="345"/>
    </row>
    <row r="63" spans="1:256" s="407" customFormat="1">
      <c r="A63" s="348" t="s">
        <v>175</v>
      </c>
      <c r="B63" s="349" t="s">
        <v>286</v>
      </c>
      <c r="C63" s="468"/>
      <c r="D63" s="350"/>
      <c r="E63" s="376"/>
      <c r="F63" s="377"/>
    </row>
    <row r="64" spans="1:256" s="407" customFormat="1">
      <c r="A64" s="392"/>
      <c r="B64" s="393"/>
      <c r="C64" s="456"/>
      <c r="D64" s="346"/>
      <c r="E64" s="356"/>
      <c r="F64" s="357"/>
    </row>
    <row r="65" spans="1:15" s="407" customFormat="1" ht="38.25">
      <c r="A65" s="364" t="s">
        <v>291</v>
      </c>
      <c r="B65" s="393" t="s">
        <v>290</v>
      </c>
      <c r="C65" s="456"/>
      <c r="D65" s="346"/>
      <c r="E65" s="356"/>
      <c r="F65" s="357"/>
    </row>
    <row r="66" spans="1:15" s="407" customFormat="1">
      <c r="A66" s="392"/>
      <c r="B66" s="393"/>
      <c r="C66" s="454">
        <v>2</v>
      </c>
      <c r="D66" s="346" t="s">
        <v>190</v>
      </c>
      <c r="E66" s="356"/>
      <c r="F66" s="357">
        <f>C66*E66</f>
        <v>0</v>
      </c>
    </row>
    <row r="67" spans="1:15" s="407" customFormat="1">
      <c r="A67" s="392"/>
      <c r="B67" s="393"/>
      <c r="C67" s="456"/>
      <c r="D67" s="346"/>
      <c r="E67" s="356"/>
      <c r="F67" s="357"/>
    </row>
    <row r="68" spans="1:15" s="350" customFormat="1" ht="38.25">
      <c r="A68" s="364" t="s">
        <v>329</v>
      </c>
      <c r="B68" s="393" t="s">
        <v>292</v>
      </c>
      <c r="C68" s="456"/>
      <c r="D68" s="346"/>
      <c r="E68" s="356"/>
      <c r="F68" s="357"/>
      <c r="G68" s="345"/>
    </row>
    <row r="69" spans="1:15" s="350" customFormat="1">
      <c r="A69" s="413"/>
      <c r="B69" s="393"/>
      <c r="C69" s="454">
        <v>6</v>
      </c>
      <c r="D69" s="346" t="s">
        <v>105</v>
      </c>
      <c r="E69" s="356"/>
      <c r="F69" s="357">
        <f>C69*E69</f>
        <v>0</v>
      </c>
      <c r="G69" s="381"/>
      <c r="I69" s="346"/>
      <c r="J69" s="346"/>
      <c r="K69" s="346"/>
      <c r="L69" s="346"/>
    </row>
    <row r="70" spans="1:15" s="389" customFormat="1">
      <c r="A70" s="413"/>
      <c r="B70" s="393"/>
      <c r="C70" s="454"/>
      <c r="D70" s="346"/>
      <c r="E70" s="356"/>
      <c r="F70" s="357"/>
      <c r="G70" s="381"/>
      <c r="H70" s="381"/>
      <c r="I70" s="346"/>
      <c r="J70" s="346"/>
      <c r="K70" s="346"/>
      <c r="L70" s="346"/>
    </row>
    <row r="71" spans="1:15" s="389" customFormat="1">
      <c r="A71" s="348" t="s">
        <v>175</v>
      </c>
      <c r="B71" s="349" t="s">
        <v>293</v>
      </c>
      <c r="C71" s="464"/>
      <c r="D71" s="350"/>
      <c r="E71" s="376"/>
      <c r="F71" s="377">
        <f>SUM(F64:F70)</f>
        <v>0</v>
      </c>
      <c r="G71" s="381"/>
      <c r="H71" s="390"/>
      <c r="I71" s="346"/>
      <c r="J71" s="346"/>
      <c r="K71" s="346"/>
      <c r="L71" s="346"/>
    </row>
    <row r="72" spans="1:15" s="389" customFormat="1">
      <c r="A72" s="348"/>
      <c r="B72" s="349"/>
      <c r="C72" s="464"/>
      <c r="D72" s="350"/>
      <c r="E72" s="376"/>
      <c r="F72" s="377"/>
      <c r="G72" s="381"/>
      <c r="H72" s="390"/>
      <c r="I72" s="352"/>
      <c r="J72" s="352"/>
      <c r="K72" s="352"/>
      <c r="L72" s="352"/>
    </row>
    <row r="73" spans="1:15" s="389" customFormat="1" ht="17.25" customHeight="1">
      <c r="A73" s="348" t="s">
        <v>185</v>
      </c>
      <c r="B73" s="349" t="s">
        <v>294</v>
      </c>
      <c r="C73" s="464"/>
      <c r="D73" s="350"/>
      <c r="E73" s="376"/>
      <c r="F73" s="377"/>
      <c r="G73" s="381"/>
      <c r="H73" s="390"/>
      <c r="I73" s="352"/>
      <c r="J73" s="352"/>
      <c r="K73" s="352"/>
      <c r="L73" s="352"/>
    </row>
    <row r="74" spans="1:15" s="389" customFormat="1">
      <c r="A74" s="402"/>
      <c r="B74" s="393"/>
      <c r="C74" s="454"/>
      <c r="D74" s="346"/>
      <c r="E74" s="356"/>
      <c r="F74" s="357"/>
      <c r="G74" s="381"/>
      <c r="H74" s="415"/>
      <c r="I74" s="346" t="s">
        <v>221</v>
      </c>
      <c r="J74" s="346" t="s">
        <v>238</v>
      </c>
      <c r="K74" s="346" t="s">
        <v>239</v>
      </c>
      <c r="L74" s="346"/>
      <c r="M74" s="389" t="s">
        <v>221</v>
      </c>
      <c r="N74" s="389" t="s">
        <v>238</v>
      </c>
      <c r="O74" s="389" t="s">
        <v>239</v>
      </c>
    </row>
    <row r="75" spans="1:15" s="389" customFormat="1">
      <c r="A75" s="392"/>
      <c r="B75" s="393"/>
      <c r="C75" s="454"/>
      <c r="D75" s="346"/>
      <c r="E75" s="400"/>
      <c r="F75" s="401"/>
      <c r="G75" s="381"/>
      <c r="H75" s="415"/>
      <c r="I75" s="346" t="s">
        <v>306</v>
      </c>
      <c r="J75" s="346">
        <v>100</v>
      </c>
      <c r="K75" s="346">
        <v>0</v>
      </c>
      <c r="L75" s="346"/>
      <c r="M75" s="389" t="s">
        <v>306</v>
      </c>
      <c r="N75" s="389">
        <v>100</v>
      </c>
      <c r="O75" s="389">
        <v>31.38</v>
      </c>
    </row>
    <row r="76" spans="1:15" s="389" customFormat="1">
      <c r="A76" s="364"/>
      <c r="B76" s="393"/>
      <c r="C76" s="454"/>
      <c r="D76" s="346"/>
      <c r="E76" s="356"/>
      <c r="F76" s="357"/>
      <c r="G76" s="381"/>
      <c r="H76" s="415"/>
      <c r="I76" s="346" t="s">
        <v>221</v>
      </c>
      <c r="J76" s="346" t="s">
        <v>238</v>
      </c>
      <c r="K76" s="346" t="s">
        <v>239</v>
      </c>
      <c r="L76" s="346"/>
      <c r="M76" s="389" t="s">
        <v>308</v>
      </c>
      <c r="N76" s="389">
        <v>80</v>
      </c>
      <c r="O76" s="389">
        <v>21.05</v>
      </c>
    </row>
    <row r="77" spans="1:15" s="389" customFormat="1">
      <c r="A77" s="364"/>
      <c r="B77" s="393"/>
      <c r="C77" s="454"/>
      <c r="D77" s="346"/>
      <c r="E77" s="356"/>
      <c r="F77" s="357"/>
      <c r="G77" s="381"/>
      <c r="H77" s="415"/>
      <c r="I77" s="346" t="s">
        <v>308</v>
      </c>
      <c r="J77" s="346">
        <v>80</v>
      </c>
      <c r="K77" s="346">
        <v>10.1</v>
      </c>
      <c r="L77" s="346"/>
    </row>
    <row r="78" spans="1:15" s="389" customFormat="1" ht="38.25">
      <c r="A78" s="392"/>
      <c r="B78" s="393" t="s">
        <v>315</v>
      </c>
      <c r="C78" s="454"/>
      <c r="D78" s="346"/>
      <c r="E78" s="400"/>
      <c r="F78" s="401"/>
      <c r="G78" s="381"/>
      <c r="H78" s="390"/>
      <c r="I78" s="346"/>
      <c r="J78" s="346"/>
      <c r="K78" s="346"/>
      <c r="L78" s="346"/>
    </row>
    <row r="79" spans="1:15" s="389" customFormat="1">
      <c r="A79" s="364" t="s">
        <v>297</v>
      </c>
      <c r="B79" s="393" t="s">
        <v>308</v>
      </c>
      <c r="C79" s="454">
        <f>K77</f>
        <v>10.1</v>
      </c>
      <c r="D79" s="346" t="s">
        <v>115</v>
      </c>
      <c r="E79" s="356"/>
      <c r="F79" s="357">
        <f>C79*E79</f>
        <v>0</v>
      </c>
      <c r="G79" s="381"/>
      <c r="H79" s="390"/>
      <c r="I79" s="346"/>
      <c r="J79" s="346"/>
      <c r="K79" s="346"/>
      <c r="L79" s="346"/>
    </row>
    <row r="80" spans="1:15" s="389" customFormat="1">
      <c r="A80" s="402"/>
      <c r="B80" s="393"/>
      <c r="C80" s="454"/>
      <c r="D80" s="346"/>
      <c r="E80" s="356"/>
      <c r="F80" s="357"/>
      <c r="G80" s="381"/>
      <c r="H80" s="390"/>
      <c r="I80" s="346"/>
      <c r="J80" s="346"/>
      <c r="K80" s="346"/>
      <c r="L80" s="346"/>
    </row>
    <row r="81" spans="1:256" s="389" customFormat="1" ht="76.5">
      <c r="A81" s="392"/>
      <c r="B81" s="393" t="s">
        <v>319</v>
      </c>
      <c r="C81" s="454"/>
      <c r="D81" s="346"/>
      <c r="E81" s="400"/>
      <c r="F81" s="401"/>
      <c r="G81" s="381"/>
      <c r="H81" s="390"/>
    </row>
    <row r="82" spans="1:256" s="389" customFormat="1">
      <c r="A82" s="364" t="s">
        <v>316</v>
      </c>
      <c r="B82" s="393" t="s">
        <v>308</v>
      </c>
      <c r="C82" s="454">
        <f>C79</f>
        <v>10.1</v>
      </c>
      <c r="D82" s="346" t="s">
        <v>115</v>
      </c>
      <c r="E82" s="356"/>
      <c r="F82" s="357">
        <f>C82*E82</f>
        <v>0</v>
      </c>
      <c r="G82" s="381"/>
      <c r="H82" s="390"/>
    </row>
    <row r="83" spans="1:256" s="421" customFormat="1">
      <c r="A83" s="364"/>
      <c r="B83" s="393"/>
      <c r="C83" s="454"/>
      <c r="D83" s="346"/>
      <c r="E83" s="356"/>
      <c r="F83" s="357"/>
      <c r="G83" s="419"/>
      <c r="H83" s="420"/>
    </row>
    <row r="84" spans="1:256" s="389" customFormat="1" ht="76.5">
      <c r="A84" s="392" t="s">
        <v>317</v>
      </c>
      <c r="B84" s="393" t="s">
        <v>298</v>
      </c>
      <c r="C84" s="458"/>
      <c r="D84" s="363"/>
      <c r="E84" s="414"/>
      <c r="F84" s="414"/>
      <c r="G84" s="381"/>
      <c r="H84" s="390"/>
    </row>
    <row r="85" spans="1:256" s="350" customFormat="1">
      <c r="A85" s="434">
        <v>1</v>
      </c>
      <c r="B85" s="417" t="s">
        <v>322</v>
      </c>
      <c r="C85" s="459">
        <v>1</v>
      </c>
      <c r="D85" s="346" t="s">
        <v>190</v>
      </c>
      <c r="E85" s="414"/>
      <c r="F85" s="414">
        <f t="shared" ref="F85:F87" si="1">C85*E85</f>
        <v>0</v>
      </c>
      <c r="G85" s="345"/>
    </row>
    <row r="86" spans="1:256" s="389" customFormat="1">
      <c r="A86" s="434"/>
      <c r="B86" s="417"/>
      <c r="C86" s="459"/>
      <c r="D86" s="346"/>
      <c r="E86" s="414"/>
      <c r="F86" s="414"/>
    </row>
    <row r="87" spans="1:256" s="389" customFormat="1">
      <c r="A87" s="431">
        <v>2</v>
      </c>
      <c r="B87" s="432" t="s">
        <v>479</v>
      </c>
      <c r="C87" s="460">
        <v>1</v>
      </c>
      <c r="D87" s="433" t="s">
        <v>190</v>
      </c>
      <c r="E87" s="414"/>
      <c r="F87" s="414">
        <f t="shared" si="1"/>
        <v>0</v>
      </c>
    </row>
    <row r="88" spans="1:256" s="389" customFormat="1" ht="63.75">
      <c r="A88" s="364" t="s">
        <v>318</v>
      </c>
      <c r="B88" s="393" t="s">
        <v>477</v>
      </c>
      <c r="C88" s="458"/>
      <c r="D88" s="363"/>
      <c r="E88" s="414"/>
      <c r="F88" s="414"/>
    </row>
    <row r="89" spans="1:256" s="389" customFormat="1">
      <c r="A89" s="422"/>
      <c r="B89" s="423"/>
      <c r="C89" s="462">
        <v>1</v>
      </c>
      <c r="D89" s="416" t="s">
        <v>190</v>
      </c>
      <c r="E89" s="424"/>
      <c r="F89" s="425">
        <f>C89*E89</f>
        <v>0</v>
      </c>
    </row>
    <row r="90" spans="1:256" s="389" customFormat="1">
      <c r="A90" s="354"/>
      <c r="B90" s="355"/>
      <c r="C90" s="455"/>
      <c r="D90" s="352"/>
      <c r="E90" s="360"/>
      <c r="F90" s="361"/>
    </row>
    <row r="91" spans="1:256" s="346" customFormat="1">
      <c r="A91" s="348" t="s">
        <v>185</v>
      </c>
      <c r="B91" s="349" t="s">
        <v>299</v>
      </c>
      <c r="C91" s="464"/>
      <c r="D91" s="350"/>
      <c r="E91" s="376"/>
      <c r="F91" s="377">
        <f>SUM(F74:F89)</f>
        <v>0</v>
      </c>
      <c r="G91" s="345"/>
      <c r="H91" s="345"/>
    </row>
    <row r="92" spans="1:256" s="350" customFormat="1">
      <c r="A92" s="354"/>
      <c r="B92" s="355"/>
      <c r="C92" s="455"/>
      <c r="D92" s="352"/>
      <c r="E92" s="352"/>
      <c r="F92" s="353"/>
      <c r="G92" s="381"/>
    </row>
    <row r="93" spans="1:256" s="352" customFormat="1">
      <c r="A93" s="348" t="s">
        <v>102</v>
      </c>
      <c r="B93" s="349" t="s">
        <v>170</v>
      </c>
      <c r="C93" s="464"/>
      <c r="D93" s="350"/>
      <c r="E93" s="376"/>
      <c r="F93" s="377"/>
      <c r="G93" s="345"/>
      <c r="H93" s="345"/>
      <c r="IV93" s="405"/>
    </row>
    <row r="94" spans="1:256">
      <c r="A94" s="364"/>
      <c r="B94" s="344"/>
      <c r="C94" s="454"/>
      <c r="D94" s="346"/>
      <c r="E94" s="356"/>
      <c r="F94" s="357"/>
    </row>
    <row r="95" spans="1:256" ht="25.5">
      <c r="A95" s="364" t="s">
        <v>300</v>
      </c>
      <c r="B95" s="393" t="s">
        <v>301</v>
      </c>
      <c r="C95" s="454"/>
      <c r="D95" s="346"/>
      <c r="E95" s="400"/>
      <c r="F95" s="401"/>
    </row>
    <row r="96" spans="1:256">
      <c r="A96" s="402"/>
      <c r="B96" s="393"/>
      <c r="C96" s="454">
        <f>C8</f>
        <v>10.1</v>
      </c>
      <c r="D96" s="346" t="s">
        <v>115</v>
      </c>
      <c r="E96" s="356"/>
      <c r="F96" s="357">
        <f>C96*E96</f>
        <v>0</v>
      </c>
    </row>
    <row r="97" spans="1:6">
      <c r="A97" s="402"/>
      <c r="B97" s="393"/>
      <c r="C97" s="454"/>
      <c r="D97" s="346"/>
      <c r="E97" s="356"/>
      <c r="F97" s="357"/>
    </row>
    <row r="98" spans="1:6" ht="51">
      <c r="A98" s="364" t="s">
        <v>302</v>
      </c>
      <c r="B98" s="393" t="s">
        <v>303</v>
      </c>
      <c r="C98" s="458"/>
      <c r="D98" s="363"/>
      <c r="E98" s="414"/>
      <c r="F98" s="414"/>
    </row>
    <row r="99" spans="1:6">
      <c r="A99" s="364"/>
      <c r="B99" s="393"/>
      <c r="C99" s="454">
        <f>C96</f>
        <v>10.1</v>
      </c>
      <c r="D99" s="346" t="s">
        <v>115</v>
      </c>
      <c r="E99" s="356"/>
      <c r="F99" s="357">
        <f>C99*E99</f>
        <v>0</v>
      </c>
    </row>
    <row r="100" spans="1:6">
      <c r="C100" s="457"/>
      <c r="E100" s="406"/>
    </row>
    <row r="101" spans="1:6">
      <c r="A101" s="348" t="s">
        <v>102</v>
      </c>
      <c r="B101" s="349" t="s">
        <v>304</v>
      </c>
      <c r="C101" s="464"/>
      <c r="D101" s="350"/>
      <c r="E101" s="376"/>
      <c r="F101" s="377">
        <f>SUM(F94:F100)</f>
        <v>0</v>
      </c>
    </row>
    <row r="102" spans="1:6">
      <c r="C102" s="457"/>
      <c r="E102" s="406"/>
    </row>
    <row r="104" spans="1:6">
      <c r="A104" s="429"/>
      <c r="B104" s="346"/>
      <c r="C104" s="466"/>
      <c r="D104" s="346"/>
      <c r="E104" s="346"/>
      <c r="F104" s="346"/>
    </row>
    <row r="105" spans="1:6">
      <c r="A105" s="429"/>
      <c r="B105" s="346"/>
      <c r="C105" s="466"/>
      <c r="D105" s="346"/>
      <c r="E105" s="346"/>
      <c r="F105" s="346"/>
    </row>
  </sheetData>
  <pageMargins left="0.70866141732283472" right="0.70866141732283472" top="0.74803149606299213" bottom="0.74803149606299213" header="0.31496062992125984" footer="0.31496062992125984"/>
  <pageSetup paperSize="9" orientation="portrait" r:id="rId1"/>
  <headerFooter>
    <oddHeader>&amp;CProjekt Dolenje in Gorenje Ponikve:
Kanalizacija, rekonstrukcija vodovoda in pločnik med naseljema</oddHeader>
    <oddFooter>&amp;R&amp;P/&amp;N</oddFooter>
  </headerFooter>
  <rowBreaks count="6" manualBreakCount="6">
    <brk id="10" max="5" man="1"/>
    <brk id="18" max="5" man="1"/>
    <brk id="39" max="5" man="1"/>
    <brk id="61" max="5" man="1"/>
    <brk id="72" max="5" man="1"/>
    <brk id="91" max="5"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05"/>
  <sheetViews>
    <sheetView showGridLines="0" view="pageBreakPreview" zoomScale="140" zoomScaleNormal="145" zoomScaleSheetLayoutView="140" workbookViewId="0">
      <selection activeCell="L364" sqref="L364"/>
    </sheetView>
  </sheetViews>
  <sheetFormatPr defaultColWidth="13.7109375" defaultRowHeight="12.75"/>
  <cols>
    <col min="1" max="1" width="7.85546875" style="507" customWidth="1"/>
    <col min="2" max="2" width="1.42578125" style="481" customWidth="1"/>
    <col min="3" max="3" width="15.28515625" style="481" customWidth="1"/>
    <col min="4" max="4" width="10.85546875" style="508" customWidth="1"/>
    <col min="5" max="5" width="8.28515625" style="481" customWidth="1"/>
    <col min="6" max="6" width="1.42578125" style="481" customWidth="1"/>
    <col min="7" max="7" width="3" style="481" customWidth="1"/>
    <col min="8" max="8" width="2.42578125" style="481" customWidth="1"/>
    <col min="9" max="9" width="3.28515625" style="481" customWidth="1"/>
    <col min="10" max="10" width="4.42578125" style="508" customWidth="1"/>
    <col min="11" max="11" width="12.5703125" style="509" customWidth="1"/>
    <col min="12" max="12" width="1.140625" style="509" customWidth="1"/>
    <col min="13" max="13" width="15.7109375" style="510" customWidth="1"/>
    <col min="14" max="256" width="13.7109375" style="481"/>
    <col min="257" max="257" width="7.85546875" style="481" customWidth="1"/>
    <col min="258" max="258" width="1.42578125" style="481" customWidth="1"/>
    <col min="259" max="259" width="15.28515625" style="481" customWidth="1"/>
    <col min="260" max="260" width="10.85546875" style="481" customWidth="1"/>
    <col min="261" max="261" width="8.28515625" style="481" customWidth="1"/>
    <col min="262" max="262" width="1.42578125" style="481" customWidth="1"/>
    <col min="263" max="263" width="3" style="481" customWidth="1"/>
    <col min="264" max="264" width="2.42578125" style="481" customWidth="1"/>
    <col min="265" max="265" width="3.28515625" style="481" customWidth="1"/>
    <col min="266" max="266" width="4.42578125" style="481" customWidth="1"/>
    <col min="267" max="267" width="12.5703125" style="481" customWidth="1"/>
    <col min="268" max="268" width="1.140625" style="481" customWidth="1"/>
    <col min="269" max="269" width="19.42578125" style="481" customWidth="1"/>
    <col min="270" max="512" width="13.7109375" style="481"/>
    <col min="513" max="513" width="7.85546875" style="481" customWidth="1"/>
    <col min="514" max="514" width="1.42578125" style="481" customWidth="1"/>
    <col min="515" max="515" width="15.28515625" style="481" customWidth="1"/>
    <col min="516" max="516" width="10.85546875" style="481" customWidth="1"/>
    <col min="517" max="517" width="8.28515625" style="481" customWidth="1"/>
    <col min="518" max="518" width="1.42578125" style="481" customWidth="1"/>
    <col min="519" max="519" width="3" style="481" customWidth="1"/>
    <col min="520" max="520" width="2.42578125" style="481" customWidth="1"/>
    <col min="521" max="521" width="3.28515625" style="481" customWidth="1"/>
    <col min="522" max="522" width="4.42578125" style="481" customWidth="1"/>
    <col min="523" max="523" width="12.5703125" style="481" customWidth="1"/>
    <col min="524" max="524" width="1.140625" style="481" customWidth="1"/>
    <col min="525" max="525" width="19.42578125" style="481" customWidth="1"/>
    <col min="526" max="768" width="13.7109375" style="481"/>
    <col min="769" max="769" width="7.85546875" style="481" customWidth="1"/>
    <col min="770" max="770" width="1.42578125" style="481" customWidth="1"/>
    <col min="771" max="771" width="15.28515625" style="481" customWidth="1"/>
    <col min="772" max="772" width="10.85546875" style="481" customWidth="1"/>
    <col min="773" max="773" width="8.28515625" style="481" customWidth="1"/>
    <col min="774" max="774" width="1.42578125" style="481" customWidth="1"/>
    <col min="775" max="775" width="3" style="481" customWidth="1"/>
    <col min="776" max="776" width="2.42578125" style="481" customWidth="1"/>
    <col min="777" max="777" width="3.28515625" style="481" customWidth="1"/>
    <col min="778" max="778" width="4.42578125" style="481" customWidth="1"/>
    <col min="779" max="779" width="12.5703125" style="481" customWidth="1"/>
    <col min="780" max="780" width="1.140625" style="481" customWidth="1"/>
    <col min="781" max="781" width="19.42578125" style="481" customWidth="1"/>
    <col min="782" max="1024" width="13.7109375" style="481"/>
    <col min="1025" max="1025" width="7.85546875" style="481" customWidth="1"/>
    <col min="1026" max="1026" width="1.42578125" style="481" customWidth="1"/>
    <col min="1027" max="1027" width="15.28515625" style="481" customWidth="1"/>
    <col min="1028" max="1028" width="10.85546875" style="481" customWidth="1"/>
    <col min="1029" max="1029" width="8.28515625" style="481" customWidth="1"/>
    <col min="1030" max="1030" width="1.42578125" style="481" customWidth="1"/>
    <col min="1031" max="1031" width="3" style="481" customWidth="1"/>
    <col min="1032" max="1032" width="2.42578125" style="481" customWidth="1"/>
    <col min="1033" max="1033" width="3.28515625" style="481" customWidth="1"/>
    <col min="1034" max="1034" width="4.42578125" style="481" customWidth="1"/>
    <col min="1035" max="1035" width="12.5703125" style="481" customWidth="1"/>
    <col min="1036" max="1036" width="1.140625" style="481" customWidth="1"/>
    <col min="1037" max="1037" width="19.42578125" style="481" customWidth="1"/>
    <col min="1038" max="1280" width="13.7109375" style="481"/>
    <col min="1281" max="1281" width="7.85546875" style="481" customWidth="1"/>
    <col min="1282" max="1282" width="1.42578125" style="481" customWidth="1"/>
    <col min="1283" max="1283" width="15.28515625" style="481" customWidth="1"/>
    <col min="1284" max="1284" width="10.85546875" style="481" customWidth="1"/>
    <col min="1285" max="1285" width="8.28515625" style="481" customWidth="1"/>
    <col min="1286" max="1286" width="1.42578125" style="481" customWidth="1"/>
    <col min="1287" max="1287" width="3" style="481" customWidth="1"/>
    <col min="1288" max="1288" width="2.42578125" style="481" customWidth="1"/>
    <col min="1289" max="1289" width="3.28515625" style="481" customWidth="1"/>
    <col min="1290" max="1290" width="4.42578125" style="481" customWidth="1"/>
    <col min="1291" max="1291" width="12.5703125" style="481" customWidth="1"/>
    <col min="1292" max="1292" width="1.140625" style="481" customWidth="1"/>
    <col min="1293" max="1293" width="19.42578125" style="481" customWidth="1"/>
    <col min="1294" max="1536" width="13.7109375" style="481"/>
    <col min="1537" max="1537" width="7.85546875" style="481" customWidth="1"/>
    <col min="1538" max="1538" width="1.42578125" style="481" customWidth="1"/>
    <col min="1539" max="1539" width="15.28515625" style="481" customWidth="1"/>
    <col min="1540" max="1540" width="10.85546875" style="481" customWidth="1"/>
    <col min="1541" max="1541" width="8.28515625" style="481" customWidth="1"/>
    <col min="1542" max="1542" width="1.42578125" style="481" customWidth="1"/>
    <col min="1543" max="1543" width="3" style="481" customWidth="1"/>
    <col min="1544" max="1544" width="2.42578125" style="481" customWidth="1"/>
    <col min="1545" max="1545" width="3.28515625" style="481" customWidth="1"/>
    <col min="1546" max="1546" width="4.42578125" style="481" customWidth="1"/>
    <col min="1547" max="1547" width="12.5703125" style="481" customWidth="1"/>
    <col min="1548" max="1548" width="1.140625" style="481" customWidth="1"/>
    <col min="1549" max="1549" width="19.42578125" style="481" customWidth="1"/>
    <col min="1550" max="1792" width="13.7109375" style="481"/>
    <col min="1793" max="1793" width="7.85546875" style="481" customWidth="1"/>
    <col min="1794" max="1794" width="1.42578125" style="481" customWidth="1"/>
    <col min="1795" max="1795" width="15.28515625" style="481" customWidth="1"/>
    <col min="1796" max="1796" width="10.85546875" style="481" customWidth="1"/>
    <col min="1797" max="1797" width="8.28515625" style="481" customWidth="1"/>
    <col min="1798" max="1798" width="1.42578125" style="481" customWidth="1"/>
    <col min="1799" max="1799" width="3" style="481" customWidth="1"/>
    <col min="1800" max="1800" width="2.42578125" style="481" customWidth="1"/>
    <col min="1801" max="1801" width="3.28515625" style="481" customWidth="1"/>
    <col min="1802" max="1802" width="4.42578125" style="481" customWidth="1"/>
    <col min="1803" max="1803" width="12.5703125" style="481" customWidth="1"/>
    <col min="1804" max="1804" width="1.140625" style="481" customWidth="1"/>
    <col min="1805" max="1805" width="19.42578125" style="481" customWidth="1"/>
    <col min="1806" max="2048" width="13.7109375" style="481"/>
    <col min="2049" max="2049" width="7.85546875" style="481" customWidth="1"/>
    <col min="2050" max="2050" width="1.42578125" style="481" customWidth="1"/>
    <col min="2051" max="2051" width="15.28515625" style="481" customWidth="1"/>
    <col min="2052" max="2052" width="10.85546875" style="481" customWidth="1"/>
    <col min="2053" max="2053" width="8.28515625" style="481" customWidth="1"/>
    <col min="2054" max="2054" width="1.42578125" style="481" customWidth="1"/>
    <col min="2055" max="2055" width="3" style="481" customWidth="1"/>
    <col min="2056" max="2056" width="2.42578125" style="481" customWidth="1"/>
    <col min="2057" max="2057" width="3.28515625" style="481" customWidth="1"/>
    <col min="2058" max="2058" width="4.42578125" style="481" customWidth="1"/>
    <col min="2059" max="2059" width="12.5703125" style="481" customWidth="1"/>
    <col min="2060" max="2060" width="1.140625" style="481" customWidth="1"/>
    <col min="2061" max="2061" width="19.42578125" style="481" customWidth="1"/>
    <col min="2062" max="2304" width="13.7109375" style="481"/>
    <col min="2305" max="2305" width="7.85546875" style="481" customWidth="1"/>
    <col min="2306" max="2306" width="1.42578125" style="481" customWidth="1"/>
    <col min="2307" max="2307" width="15.28515625" style="481" customWidth="1"/>
    <col min="2308" max="2308" width="10.85546875" style="481" customWidth="1"/>
    <col min="2309" max="2309" width="8.28515625" style="481" customWidth="1"/>
    <col min="2310" max="2310" width="1.42578125" style="481" customWidth="1"/>
    <col min="2311" max="2311" width="3" style="481" customWidth="1"/>
    <col min="2312" max="2312" width="2.42578125" style="481" customWidth="1"/>
    <col min="2313" max="2313" width="3.28515625" style="481" customWidth="1"/>
    <col min="2314" max="2314" width="4.42578125" style="481" customWidth="1"/>
    <col min="2315" max="2315" width="12.5703125" style="481" customWidth="1"/>
    <col min="2316" max="2316" width="1.140625" style="481" customWidth="1"/>
    <col min="2317" max="2317" width="19.42578125" style="481" customWidth="1"/>
    <col min="2318" max="2560" width="13.7109375" style="481"/>
    <col min="2561" max="2561" width="7.85546875" style="481" customWidth="1"/>
    <col min="2562" max="2562" width="1.42578125" style="481" customWidth="1"/>
    <col min="2563" max="2563" width="15.28515625" style="481" customWidth="1"/>
    <col min="2564" max="2564" width="10.85546875" style="481" customWidth="1"/>
    <col min="2565" max="2565" width="8.28515625" style="481" customWidth="1"/>
    <col min="2566" max="2566" width="1.42578125" style="481" customWidth="1"/>
    <col min="2567" max="2567" width="3" style="481" customWidth="1"/>
    <col min="2568" max="2568" width="2.42578125" style="481" customWidth="1"/>
    <col min="2569" max="2569" width="3.28515625" style="481" customWidth="1"/>
    <col min="2570" max="2570" width="4.42578125" style="481" customWidth="1"/>
    <col min="2571" max="2571" width="12.5703125" style="481" customWidth="1"/>
    <col min="2572" max="2572" width="1.140625" style="481" customWidth="1"/>
    <col min="2573" max="2573" width="19.42578125" style="481" customWidth="1"/>
    <col min="2574" max="2816" width="13.7109375" style="481"/>
    <col min="2817" max="2817" width="7.85546875" style="481" customWidth="1"/>
    <col min="2818" max="2818" width="1.42578125" style="481" customWidth="1"/>
    <col min="2819" max="2819" width="15.28515625" style="481" customWidth="1"/>
    <col min="2820" max="2820" width="10.85546875" style="481" customWidth="1"/>
    <col min="2821" max="2821" width="8.28515625" style="481" customWidth="1"/>
    <col min="2822" max="2822" width="1.42578125" style="481" customWidth="1"/>
    <col min="2823" max="2823" width="3" style="481" customWidth="1"/>
    <col min="2824" max="2824" width="2.42578125" style="481" customWidth="1"/>
    <col min="2825" max="2825" width="3.28515625" style="481" customWidth="1"/>
    <col min="2826" max="2826" width="4.42578125" style="481" customWidth="1"/>
    <col min="2827" max="2827" width="12.5703125" style="481" customWidth="1"/>
    <col min="2828" max="2828" width="1.140625" style="481" customWidth="1"/>
    <col min="2829" max="2829" width="19.42578125" style="481" customWidth="1"/>
    <col min="2830" max="3072" width="13.7109375" style="481"/>
    <col min="3073" max="3073" width="7.85546875" style="481" customWidth="1"/>
    <col min="3074" max="3074" width="1.42578125" style="481" customWidth="1"/>
    <col min="3075" max="3075" width="15.28515625" style="481" customWidth="1"/>
    <col min="3076" max="3076" width="10.85546875" style="481" customWidth="1"/>
    <col min="3077" max="3077" width="8.28515625" style="481" customWidth="1"/>
    <col min="3078" max="3078" width="1.42578125" style="481" customWidth="1"/>
    <col min="3079" max="3079" width="3" style="481" customWidth="1"/>
    <col min="3080" max="3080" width="2.42578125" style="481" customWidth="1"/>
    <col min="3081" max="3081" width="3.28515625" style="481" customWidth="1"/>
    <col min="3082" max="3082" width="4.42578125" style="481" customWidth="1"/>
    <col min="3083" max="3083" width="12.5703125" style="481" customWidth="1"/>
    <col min="3084" max="3084" width="1.140625" style="481" customWidth="1"/>
    <col min="3085" max="3085" width="19.42578125" style="481" customWidth="1"/>
    <col min="3086" max="3328" width="13.7109375" style="481"/>
    <col min="3329" max="3329" width="7.85546875" style="481" customWidth="1"/>
    <col min="3330" max="3330" width="1.42578125" style="481" customWidth="1"/>
    <col min="3331" max="3331" width="15.28515625" style="481" customWidth="1"/>
    <col min="3332" max="3332" width="10.85546875" style="481" customWidth="1"/>
    <col min="3333" max="3333" width="8.28515625" style="481" customWidth="1"/>
    <col min="3334" max="3334" width="1.42578125" style="481" customWidth="1"/>
    <col min="3335" max="3335" width="3" style="481" customWidth="1"/>
    <col min="3336" max="3336" width="2.42578125" style="481" customWidth="1"/>
    <col min="3337" max="3337" width="3.28515625" style="481" customWidth="1"/>
    <col min="3338" max="3338" width="4.42578125" style="481" customWidth="1"/>
    <col min="3339" max="3339" width="12.5703125" style="481" customWidth="1"/>
    <col min="3340" max="3340" width="1.140625" style="481" customWidth="1"/>
    <col min="3341" max="3341" width="19.42578125" style="481" customWidth="1"/>
    <col min="3342" max="3584" width="13.7109375" style="481"/>
    <col min="3585" max="3585" width="7.85546875" style="481" customWidth="1"/>
    <col min="3586" max="3586" width="1.42578125" style="481" customWidth="1"/>
    <col min="3587" max="3587" width="15.28515625" style="481" customWidth="1"/>
    <col min="3588" max="3588" width="10.85546875" style="481" customWidth="1"/>
    <col min="3589" max="3589" width="8.28515625" style="481" customWidth="1"/>
    <col min="3590" max="3590" width="1.42578125" style="481" customWidth="1"/>
    <col min="3591" max="3591" width="3" style="481" customWidth="1"/>
    <col min="3592" max="3592" width="2.42578125" style="481" customWidth="1"/>
    <col min="3593" max="3593" width="3.28515625" style="481" customWidth="1"/>
    <col min="3594" max="3594" width="4.42578125" style="481" customWidth="1"/>
    <col min="3595" max="3595" width="12.5703125" style="481" customWidth="1"/>
    <col min="3596" max="3596" width="1.140625" style="481" customWidth="1"/>
    <col min="3597" max="3597" width="19.42578125" style="481" customWidth="1"/>
    <col min="3598" max="3840" width="13.7109375" style="481"/>
    <col min="3841" max="3841" width="7.85546875" style="481" customWidth="1"/>
    <col min="3842" max="3842" width="1.42578125" style="481" customWidth="1"/>
    <col min="3843" max="3843" width="15.28515625" style="481" customWidth="1"/>
    <col min="3844" max="3844" width="10.85546875" style="481" customWidth="1"/>
    <col min="3845" max="3845" width="8.28515625" style="481" customWidth="1"/>
    <col min="3846" max="3846" width="1.42578125" style="481" customWidth="1"/>
    <col min="3847" max="3847" width="3" style="481" customWidth="1"/>
    <col min="3848" max="3848" width="2.42578125" style="481" customWidth="1"/>
    <col min="3849" max="3849" width="3.28515625" style="481" customWidth="1"/>
    <col min="3850" max="3850" width="4.42578125" style="481" customWidth="1"/>
    <col min="3851" max="3851" width="12.5703125" style="481" customWidth="1"/>
    <col min="3852" max="3852" width="1.140625" style="481" customWidth="1"/>
    <col min="3853" max="3853" width="19.42578125" style="481" customWidth="1"/>
    <col min="3854" max="4096" width="13.7109375" style="481"/>
    <col min="4097" max="4097" width="7.85546875" style="481" customWidth="1"/>
    <col min="4098" max="4098" width="1.42578125" style="481" customWidth="1"/>
    <col min="4099" max="4099" width="15.28515625" style="481" customWidth="1"/>
    <col min="4100" max="4100" width="10.85546875" style="481" customWidth="1"/>
    <col min="4101" max="4101" width="8.28515625" style="481" customWidth="1"/>
    <col min="4102" max="4102" width="1.42578125" style="481" customWidth="1"/>
    <col min="4103" max="4103" width="3" style="481" customWidth="1"/>
    <col min="4104" max="4104" width="2.42578125" style="481" customWidth="1"/>
    <col min="4105" max="4105" width="3.28515625" style="481" customWidth="1"/>
    <col min="4106" max="4106" width="4.42578125" style="481" customWidth="1"/>
    <col min="4107" max="4107" width="12.5703125" style="481" customWidth="1"/>
    <col min="4108" max="4108" width="1.140625" style="481" customWidth="1"/>
    <col min="4109" max="4109" width="19.42578125" style="481" customWidth="1"/>
    <col min="4110" max="4352" width="13.7109375" style="481"/>
    <col min="4353" max="4353" width="7.85546875" style="481" customWidth="1"/>
    <col min="4354" max="4354" width="1.42578125" style="481" customWidth="1"/>
    <col min="4355" max="4355" width="15.28515625" style="481" customWidth="1"/>
    <col min="4356" max="4356" width="10.85546875" style="481" customWidth="1"/>
    <col min="4357" max="4357" width="8.28515625" style="481" customWidth="1"/>
    <col min="4358" max="4358" width="1.42578125" style="481" customWidth="1"/>
    <col min="4359" max="4359" width="3" style="481" customWidth="1"/>
    <col min="4360" max="4360" width="2.42578125" style="481" customWidth="1"/>
    <col min="4361" max="4361" width="3.28515625" style="481" customWidth="1"/>
    <col min="4362" max="4362" width="4.42578125" style="481" customWidth="1"/>
    <col min="4363" max="4363" width="12.5703125" style="481" customWidth="1"/>
    <col min="4364" max="4364" width="1.140625" style="481" customWidth="1"/>
    <col min="4365" max="4365" width="19.42578125" style="481" customWidth="1"/>
    <col min="4366" max="4608" width="13.7109375" style="481"/>
    <col min="4609" max="4609" width="7.85546875" style="481" customWidth="1"/>
    <col min="4610" max="4610" width="1.42578125" style="481" customWidth="1"/>
    <col min="4611" max="4611" width="15.28515625" style="481" customWidth="1"/>
    <col min="4612" max="4612" width="10.85546875" style="481" customWidth="1"/>
    <col min="4613" max="4613" width="8.28515625" style="481" customWidth="1"/>
    <col min="4614" max="4614" width="1.42578125" style="481" customWidth="1"/>
    <col min="4615" max="4615" width="3" style="481" customWidth="1"/>
    <col min="4616" max="4616" width="2.42578125" style="481" customWidth="1"/>
    <col min="4617" max="4617" width="3.28515625" style="481" customWidth="1"/>
    <col min="4618" max="4618" width="4.42578125" style="481" customWidth="1"/>
    <col min="4619" max="4619" width="12.5703125" style="481" customWidth="1"/>
    <col min="4620" max="4620" width="1.140625" style="481" customWidth="1"/>
    <col min="4621" max="4621" width="19.42578125" style="481" customWidth="1"/>
    <col min="4622" max="4864" width="13.7109375" style="481"/>
    <col min="4865" max="4865" width="7.85546875" style="481" customWidth="1"/>
    <col min="4866" max="4866" width="1.42578125" style="481" customWidth="1"/>
    <col min="4867" max="4867" width="15.28515625" style="481" customWidth="1"/>
    <col min="4868" max="4868" width="10.85546875" style="481" customWidth="1"/>
    <col min="4869" max="4869" width="8.28515625" style="481" customWidth="1"/>
    <col min="4870" max="4870" width="1.42578125" style="481" customWidth="1"/>
    <col min="4871" max="4871" width="3" style="481" customWidth="1"/>
    <col min="4872" max="4872" width="2.42578125" style="481" customWidth="1"/>
    <col min="4873" max="4873" width="3.28515625" style="481" customWidth="1"/>
    <col min="4874" max="4874" width="4.42578125" style="481" customWidth="1"/>
    <col min="4875" max="4875" width="12.5703125" style="481" customWidth="1"/>
    <col min="4876" max="4876" width="1.140625" style="481" customWidth="1"/>
    <col min="4877" max="4877" width="19.42578125" style="481" customWidth="1"/>
    <col min="4878" max="5120" width="13.7109375" style="481"/>
    <col min="5121" max="5121" width="7.85546875" style="481" customWidth="1"/>
    <col min="5122" max="5122" width="1.42578125" style="481" customWidth="1"/>
    <col min="5123" max="5123" width="15.28515625" style="481" customWidth="1"/>
    <col min="5124" max="5124" width="10.85546875" style="481" customWidth="1"/>
    <col min="5125" max="5125" width="8.28515625" style="481" customWidth="1"/>
    <col min="5126" max="5126" width="1.42578125" style="481" customWidth="1"/>
    <col min="5127" max="5127" width="3" style="481" customWidth="1"/>
    <col min="5128" max="5128" width="2.42578125" style="481" customWidth="1"/>
    <col min="5129" max="5129" width="3.28515625" style="481" customWidth="1"/>
    <col min="5130" max="5130" width="4.42578125" style="481" customWidth="1"/>
    <col min="5131" max="5131" width="12.5703125" style="481" customWidth="1"/>
    <col min="5132" max="5132" width="1.140625" style="481" customWidth="1"/>
    <col min="5133" max="5133" width="19.42578125" style="481" customWidth="1"/>
    <col min="5134" max="5376" width="13.7109375" style="481"/>
    <col min="5377" max="5377" width="7.85546875" style="481" customWidth="1"/>
    <col min="5378" max="5378" width="1.42578125" style="481" customWidth="1"/>
    <col min="5379" max="5379" width="15.28515625" style="481" customWidth="1"/>
    <col min="5380" max="5380" width="10.85546875" style="481" customWidth="1"/>
    <col min="5381" max="5381" width="8.28515625" style="481" customWidth="1"/>
    <col min="5382" max="5382" width="1.42578125" style="481" customWidth="1"/>
    <col min="5383" max="5383" width="3" style="481" customWidth="1"/>
    <col min="5384" max="5384" width="2.42578125" style="481" customWidth="1"/>
    <col min="5385" max="5385" width="3.28515625" style="481" customWidth="1"/>
    <col min="5386" max="5386" width="4.42578125" style="481" customWidth="1"/>
    <col min="5387" max="5387" width="12.5703125" style="481" customWidth="1"/>
    <col min="5388" max="5388" width="1.140625" style="481" customWidth="1"/>
    <col min="5389" max="5389" width="19.42578125" style="481" customWidth="1"/>
    <col min="5390" max="5632" width="13.7109375" style="481"/>
    <col min="5633" max="5633" width="7.85546875" style="481" customWidth="1"/>
    <col min="5634" max="5634" width="1.42578125" style="481" customWidth="1"/>
    <col min="5635" max="5635" width="15.28515625" style="481" customWidth="1"/>
    <col min="5636" max="5636" width="10.85546875" style="481" customWidth="1"/>
    <col min="5637" max="5637" width="8.28515625" style="481" customWidth="1"/>
    <col min="5638" max="5638" width="1.42578125" style="481" customWidth="1"/>
    <col min="5639" max="5639" width="3" style="481" customWidth="1"/>
    <col min="5640" max="5640" width="2.42578125" style="481" customWidth="1"/>
    <col min="5641" max="5641" width="3.28515625" style="481" customWidth="1"/>
    <col min="5642" max="5642" width="4.42578125" style="481" customWidth="1"/>
    <col min="5643" max="5643" width="12.5703125" style="481" customWidth="1"/>
    <col min="5644" max="5644" width="1.140625" style="481" customWidth="1"/>
    <col min="5645" max="5645" width="19.42578125" style="481" customWidth="1"/>
    <col min="5646" max="5888" width="13.7109375" style="481"/>
    <col min="5889" max="5889" width="7.85546875" style="481" customWidth="1"/>
    <col min="5890" max="5890" width="1.42578125" style="481" customWidth="1"/>
    <col min="5891" max="5891" width="15.28515625" style="481" customWidth="1"/>
    <col min="5892" max="5892" width="10.85546875" style="481" customWidth="1"/>
    <col min="5893" max="5893" width="8.28515625" style="481" customWidth="1"/>
    <col min="5894" max="5894" width="1.42578125" style="481" customWidth="1"/>
    <col min="5895" max="5895" width="3" style="481" customWidth="1"/>
    <col min="5896" max="5896" width="2.42578125" style="481" customWidth="1"/>
    <col min="5897" max="5897" width="3.28515625" style="481" customWidth="1"/>
    <col min="5898" max="5898" width="4.42578125" style="481" customWidth="1"/>
    <col min="5899" max="5899" width="12.5703125" style="481" customWidth="1"/>
    <col min="5900" max="5900" width="1.140625" style="481" customWidth="1"/>
    <col min="5901" max="5901" width="19.42578125" style="481" customWidth="1"/>
    <col min="5902" max="6144" width="13.7109375" style="481"/>
    <col min="6145" max="6145" width="7.85546875" style="481" customWidth="1"/>
    <col min="6146" max="6146" width="1.42578125" style="481" customWidth="1"/>
    <col min="6147" max="6147" width="15.28515625" style="481" customWidth="1"/>
    <col min="6148" max="6148" width="10.85546875" style="481" customWidth="1"/>
    <col min="6149" max="6149" width="8.28515625" style="481" customWidth="1"/>
    <col min="6150" max="6150" width="1.42578125" style="481" customWidth="1"/>
    <col min="6151" max="6151" width="3" style="481" customWidth="1"/>
    <col min="6152" max="6152" width="2.42578125" style="481" customWidth="1"/>
    <col min="6153" max="6153" width="3.28515625" style="481" customWidth="1"/>
    <col min="6154" max="6154" width="4.42578125" style="481" customWidth="1"/>
    <col min="6155" max="6155" width="12.5703125" style="481" customWidth="1"/>
    <col min="6156" max="6156" width="1.140625" style="481" customWidth="1"/>
    <col min="6157" max="6157" width="19.42578125" style="481" customWidth="1"/>
    <col min="6158" max="6400" width="13.7109375" style="481"/>
    <col min="6401" max="6401" width="7.85546875" style="481" customWidth="1"/>
    <col min="6402" max="6402" width="1.42578125" style="481" customWidth="1"/>
    <col min="6403" max="6403" width="15.28515625" style="481" customWidth="1"/>
    <col min="6404" max="6404" width="10.85546875" style="481" customWidth="1"/>
    <col min="6405" max="6405" width="8.28515625" style="481" customWidth="1"/>
    <col min="6406" max="6406" width="1.42578125" style="481" customWidth="1"/>
    <col min="6407" max="6407" width="3" style="481" customWidth="1"/>
    <col min="6408" max="6408" width="2.42578125" style="481" customWidth="1"/>
    <col min="6409" max="6409" width="3.28515625" style="481" customWidth="1"/>
    <col min="6410" max="6410" width="4.42578125" style="481" customWidth="1"/>
    <col min="6411" max="6411" width="12.5703125" style="481" customWidth="1"/>
    <col min="6412" max="6412" width="1.140625" style="481" customWidth="1"/>
    <col min="6413" max="6413" width="19.42578125" style="481" customWidth="1"/>
    <col min="6414" max="6656" width="13.7109375" style="481"/>
    <col min="6657" max="6657" width="7.85546875" style="481" customWidth="1"/>
    <col min="6658" max="6658" width="1.42578125" style="481" customWidth="1"/>
    <col min="6659" max="6659" width="15.28515625" style="481" customWidth="1"/>
    <col min="6660" max="6660" width="10.85546875" style="481" customWidth="1"/>
    <col min="6661" max="6661" width="8.28515625" style="481" customWidth="1"/>
    <col min="6662" max="6662" width="1.42578125" style="481" customWidth="1"/>
    <col min="6663" max="6663" width="3" style="481" customWidth="1"/>
    <col min="6664" max="6664" width="2.42578125" style="481" customWidth="1"/>
    <col min="6665" max="6665" width="3.28515625" style="481" customWidth="1"/>
    <col min="6666" max="6666" width="4.42578125" style="481" customWidth="1"/>
    <col min="6667" max="6667" width="12.5703125" style="481" customWidth="1"/>
    <col min="6668" max="6668" width="1.140625" style="481" customWidth="1"/>
    <col min="6669" max="6669" width="19.42578125" style="481" customWidth="1"/>
    <col min="6670" max="6912" width="13.7109375" style="481"/>
    <col min="6913" max="6913" width="7.85546875" style="481" customWidth="1"/>
    <col min="6914" max="6914" width="1.42578125" style="481" customWidth="1"/>
    <col min="6915" max="6915" width="15.28515625" style="481" customWidth="1"/>
    <col min="6916" max="6916" width="10.85546875" style="481" customWidth="1"/>
    <col min="6917" max="6917" width="8.28515625" style="481" customWidth="1"/>
    <col min="6918" max="6918" width="1.42578125" style="481" customWidth="1"/>
    <col min="6919" max="6919" width="3" style="481" customWidth="1"/>
    <col min="6920" max="6920" width="2.42578125" style="481" customWidth="1"/>
    <col min="6921" max="6921" width="3.28515625" style="481" customWidth="1"/>
    <col min="6922" max="6922" width="4.42578125" style="481" customWidth="1"/>
    <col min="6923" max="6923" width="12.5703125" style="481" customWidth="1"/>
    <col min="6924" max="6924" width="1.140625" style="481" customWidth="1"/>
    <col min="6925" max="6925" width="19.42578125" style="481" customWidth="1"/>
    <col min="6926" max="7168" width="13.7109375" style="481"/>
    <col min="7169" max="7169" width="7.85546875" style="481" customWidth="1"/>
    <col min="7170" max="7170" width="1.42578125" style="481" customWidth="1"/>
    <col min="7171" max="7171" width="15.28515625" style="481" customWidth="1"/>
    <col min="7172" max="7172" width="10.85546875" style="481" customWidth="1"/>
    <col min="7173" max="7173" width="8.28515625" style="481" customWidth="1"/>
    <col min="7174" max="7174" width="1.42578125" style="481" customWidth="1"/>
    <col min="7175" max="7175" width="3" style="481" customWidth="1"/>
    <col min="7176" max="7176" width="2.42578125" style="481" customWidth="1"/>
    <col min="7177" max="7177" width="3.28515625" style="481" customWidth="1"/>
    <col min="7178" max="7178" width="4.42578125" style="481" customWidth="1"/>
    <col min="7179" max="7179" width="12.5703125" style="481" customWidth="1"/>
    <col min="7180" max="7180" width="1.140625" style="481" customWidth="1"/>
    <col min="7181" max="7181" width="19.42578125" style="481" customWidth="1"/>
    <col min="7182" max="7424" width="13.7109375" style="481"/>
    <col min="7425" max="7425" width="7.85546875" style="481" customWidth="1"/>
    <col min="7426" max="7426" width="1.42578125" style="481" customWidth="1"/>
    <col min="7427" max="7427" width="15.28515625" style="481" customWidth="1"/>
    <col min="7428" max="7428" width="10.85546875" style="481" customWidth="1"/>
    <col min="7429" max="7429" width="8.28515625" style="481" customWidth="1"/>
    <col min="7430" max="7430" width="1.42578125" style="481" customWidth="1"/>
    <col min="7431" max="7431" width="3" style="481" customWidth="1"/>
    <col min="7432" max="7432" width="2.42578125" style="481" customWidth="1"/>
    <col min="7433" max="7433" width="3.28515625" style="481" customWidth="1"/>
    <col min="7434" max="7434" width="4.42578125" style="481" customWidth="1"/>
    <col min="7435" max="7435" width="12.5703125" style="481" customWidth="1"/>
    <col min="7436" max="7436" width="1.140625" style="481" customWidth="1"/>
    <col min="7437" max="7437" width="19.42578125" style="481" customWidth="1"/>
    <col min="7438" max="7680" width="13.7109375" style="481"/>
    <col min="7681" max="7681" width="7.85546875" style="481" customWidth="1"/>
    <col min="7682" max="7682" width="1.42578125" style="481" customWidth="1"/>
    <col min="7683" max="7683" width="15.28515625" style="481" customWidth="1"/>
    <col min="7684" max="7684" width="10.85546875" style="481" customWidth="1"/>
    <col min="7685" max="7685" width="8.28515625" style="481" customWidth="1"/>
    <col min="7686" max="7686" width="1.42578125" style="481" customWidth="1"/>
    <col min="7687" max="7687" width="3" style="481" customWidth="1"/>
    <col min="7688" max="7688" width="2.42578125" style="481" customWidth="1"/>
    <col min="7689" max="7689" width="3.28515625" style="481" customWidth="1"/>
    <col min="7690" max="7690" width="4.42578125" style="481" customWidth="1"/>
    <col min="7691" max="7691" width="12.5703125" style="481" customWidth="1"/>
    <col min="7692" max="7692" width="1.140625" style="481" customWidth="1"/>
    <col min="7693" max="7693" width="19.42578125" style="481" customWidth="1"/>
    <col min="7694" max="7936" width="13.7109375" style="481"/>
    <col min="7937" max="7937" width="7.85546875" style="481" customWidth="1"/>
    <col min="7938" max="7938" width="1.42578125" style="481" customWidth="1"/>
    <col min="7939" max="7939" width="15.28515625" style="481" customWidth="1"/>
    <col min="7940" max="7940" width="10.85546875" style="481" customWidth="1"/>
    <col min="7941" max="7941" width="8.28515625" style="481" customWidth="1"/>
    <col min="7942" max="7942" width="1.42578125" style="481" customWidth="1"/>
    <col min="7943" max="7943" width="3" style="481" customWidth="1"/>
    <col min="7944" max="7944" width="2.42578125" style="481" customWidth="1"/>
    <col min="7945" max="7945" width="3.28515625" style="481" customWidth="1"/>
    <col min="7946" max="7946" width="4.42578125" style="481" customWidth="1"/>
    <col min="7947" max="7947" width="12.5703125" style="481" customWidth="1"/>
    <col min="7948" max="7948" width="1.140625" style="481" customWidth="1"/>
    <col min="7949" max="7949" width="19.42578125" style="481" customWidth="1"/>
    <col min="7950" max="8192" width="13.7109375" style="481"/>
    <col min="8193" max="8193" width="7.85546875" style="481" customWidth="1"/>
    <col min="8194" max="8194" width="1.42578125" style="481" customWidth="1"/>
    <col min="8195" max="8195" width="15.28515625" style="481" customWidth="1"/>
    <col min="8196" max="8196" width="10.85546875" style="481" customWidth="1"/>
    <col min="8197" max="8197" width="8.28515625" style="481" customWidth="1"/>
    <col min="8198" max="8198" width="1.42578125" style="481" customWidth="1"/>
    <col min="8199" max="8199" width="3" style="481" customWidth="1"/>
    <col min="8200" max="8200" width="2.42578125" style="481" customWidth="1"/>
    <col min="8201" max="8201" width="3.28515625" style="481" customWidth="1"/>
    <col min="8202" max="8202" width="4.42578125" style="481" customWidth="1"/>
    <col min="8203" max="8203" width="12.5703125" style="481" customWidth="1"/>
    <col min="8204" max="8204" width="1.140625" style="481" customWidth="1"/>
    <col min="8205" max="8205" width="19.42578125" style="481" customWidth="1"/>
    <col min="8206" max="8448" width="13.7109375" style="481"/>
    <col min="8449" max="8449" width="7.85546875" style="481" customWidth="1"/>
    <col min="8450" max="8450" width="1.42578125" style="481" customWidth="1"/>
    <col min="8451" max="8451" width="15.28515625" style="481" customWidth="1"/>
    <col min="8452" max="8452" width="10.85546875" style="481" customWidth="1"/>
    <col min="8453" max="8453" width="8.28515625" style="481" customWidth="1"/>
    <col min="8454" max="8454" width="1.42578125" style="481" customWidth="1"/>
    <col min="8455" max="8455" width="3" style="481" customWidth="1"/>
    <col min="8456" max="8456" width="2.42578125" style="481" customWidth="1"/>
    <col min="8457" max="8457" width="3.28515625" style="481" customWidth="1"/>
    <col min="8458" max="8458" width="4.42578125" style="481" customWidth="1"/>
    <col min="8459" max="8459" width="12.5703125" style="481" customWidth="1"/>
    <col min="8460" max="8460" width="1.140625" style="481" customWidth="1"/>
    <col min="8461" max="8461" width="19.42578125" style="481" customWidth="1"/>
    <col min="8462" max="8704" width="13.7109375" style="481"/>
    <col min="8705" max="8705" width="7.85546875" style="481" customWidth="1"/>
    <col min="8706" max="8706" width="1.42578125" style="481" customWidth="1"/>
    <col min="8707" max="8707" width="15.28515625" style="481" customWidth="1"/>
    <col min="8708" max="8708" width="10.85546875" style="481" customWidth="1"/>
    <col min="8709" max="8709" width="8.28515625" style="481" customWidth="1"/>
    <col min="8710" max="8710" width="1.42578125" style="481" customWidth="1"/>
    <col min="8711" max="8711" width="3" style="481" customWidth="1"/>
    <col min="8712" max="8712" width="2.42578125" style="481" customWidth="1"/>
    <col min="8713" max="8713" width="3.28515625" style="481" customWidth="1"/>
    <col min="8714" max="8714" width="4.42578125" style="481" customWidth="1"/>
    <col min="8715" max="8715" width="12.5703125" style="481" customWidth="1"/>
    <col min="8716" max="8716" width="1.140625" style="481" customWidth="1"/>
    <col min="8717" max="8717" width="19.42578125" style="481" customWidth="1"/>
    <col min="8718" max="8960" width="13.7109375" style="481"/>
    <col min="8961" max="8961" width="7.85546875" style="481" customWidth="1"/>
    <col min="8962" max="8962" width="1.42578125" style="481" customWidth="1"/>
    <col min="8963" max="8963" width="15.28515625" style="481" customWidth="1"/>
    <col min="8964" max="8964" width="10.85546875" style="481" customWidth="1"/>
    <col min="8965" max="8965" width="8.28515625" style="481" customWidth="1"/>
    <col min="8966" max="8966" width="1.42578125" style="481" customWidth="1"/>
    <col min="8967" max="8967" width="3" style="481" customWidth="1"/>
    <col min="8968" max="8968" width="2.42578125" style="481" customWidth="1"/>
    <col min="8969" max="8969" width="3.28515625" style="481" customWidth="1"/>
    <col min="8970" max="8970" width="4.42578125" style="481" customWidth="1"/>
    <col min="8971" max="8971" width="12.5703125" style="481" customWidth="1"/>
    <col min="8972" max="8972" width="1.140625" style="481" customWidth="1"/>
    <col min="8973" max="8973" width="19.42578125" style="481" customWidth="1"/>
    <col min="8974" max="9216" width="13.7109375" style="481"/>
    <col min="9217" max="9217" width="7.85546875" style="481" customWidth="1"/>
    <col min="9218" max="9218" width="1.42578125" style="481" customWidth="1"/>
    <col min="9219" max="9219" width="15.28515625" style="481" customWidth="1"/>
    <col min="9220" max="9220" width="10.85546875" style="481" customWidth="1"/>
    <col min="9221" max="9221" width="8.28515625" style="481" customWidth="1"/>
    <col min="9222" max="9222" width="1.42578125" style="481" customWidth="1"/>
    <col min="9223" max="9223" width="3" style="481" customWidth="1"/>
    <col min="9224" max="9224" width="2.42578125" style="481" customWidth="1"/>
    <col min="9225" max="9225" width="3.28515625" style="481" customWidth="1"/>
    <col min="9226" max="9226" width="4.42578125" style="481" customWidth="1"/>
    <col min="9227" max="9227" width="12.5703125" style="481" customWidth="1"/>
    <col min="9228" max="9228" width="1.140625" style="481" customWidth="1"/>
    <col min="9229" max="9229" width="19.42578125" style="481" customWidth="1"/>
    <col min="9230" max="9472" width="13.7109375" style="481"/>
    <col min="9473" max="9473" width="7.85546875" style="481" customWidth="1"/>
    <col min="9474" max="9474" width="1.42578125" style="481" customWidth="1"/>
    <col min="9475" max="9475" width="15.28515625" style="481" customWidth="1"/>
    <col min="9476" max="9476" width="10.85546875" style="481" customWidth="1"/>
    <col min="9477" max="9477" width="8.28515625" style="481" customWidth="1"/>
    <col min="9478" max="9478" width="1.42578125" style="481" customWidth="1"/>
    <col min="9479" max="9479" width="3" style="481" customWidth="1"/>
    <col min="9480" max="9480" width="2.42578125" style="481" customWidth="1"/>
    <col min="9481" max="9481" width="3.28515625" style="481" customWidth="1"/>
    <col min="9482" max="9482" width="4.42578125" style="481" customWidth="1"/>
    <col min="9483" max="9483" width="12.5703125" style="481" customWidth="1"/>
    <col min="9484" max="9484" width="1.140625" style="481" customWidth="1"/>
    <col min="9485" max="9485" width="19.42578125" style="481" customWidth="1"/>
    <col min="9486" max="9728" width="13.7109375" style="481"/>
    <col min="9729" max="9729" width="7.85546875" style="481" customWidth="1"/>
    <col min="9730" max="9730" width="1.42578125" style="481" customWidth="1"/>
    <col min="9731" max="9731" width="15.28515625" style="481" customWidth="1"/>
    <col min="9732" max="9732" width="10.85546875" style="481" customWidth="1"/>
    <col min="9733" max="9733" width="8.28515625" style="481" customWidth="1"/>
    <col min="9734" max="9734" width="1.42578125" style="481" customWidth="1"/>
    <col min="9735" max="9735" width="3" style="481" customWidth="1"/>
    <col min="9736" max="9736" width="2.42578125" style="481" customWidth="1"/>
    <col min="9737" max="9737" width="3.28515625" style="481" customWidth="1"/>
    <col min="9738" max="9738" width="4.42578125" style="481" customWidth="1"/>
    <col min="9739" max="9739" width="12.5703125" style="481" customWidth="1"/>
    <col min="9740" max="9740" width="1.140625" style="481" customWidth="1"/>
    <col min="9741" max="9741" width="19.42578125" style="481" customWidth="1"/>
    <col min="9742" max="9984" width="13.7109375" style="481"/>
    <col min="9985" max="9985" width="7.85546875" style="481" customWidth="1"/>
    <col min="9986" max="9986" width="1.42578125" style="481" customWidth="1"/>
    <col min="9987" max="9987" width="15.28515625" style="481" customWidth="1"/>
    <col min="9988" max="9988" width="10.85546875" style="481" customWidth="1"/>
    <col min="9989" max="9989" width="8.28515625" style="481" customWidth="1"/>
    <col min="9990" max="9990" width="1.42578125" style="481" customWidth="1"/>
    <col min="9991" max="9991" width="3" style="481" customWidth="1"/>
    <col min="9992" max="9992" width="2.42578125" style="481" customWidth="1"/>
    <col min="9993" max="9993" width="3.28515625" style="481" customWidth="1"/>
    <col min="9994" max="9994" width="4.42578125" style="481" customWidth="1"/>
    <col min="9995" max="9995" width="12.5703125" style="481" customWidth="1"/>
    <col min="9996" max="9996" width="1.140625" style="481" customWidth="1"/>
    <col min="9997" max="9997" width="19.42578125" style="481" customWidth="1"/>
    <col min="9998" max="10240" width="13.7109375" style="481"/>
    <col min="10241" max="10241" width="7.85546875" style="481" customWidth="1"/>
    <col min="10242" max="10242" width="1.42578125" style="481" customWidth="1"/>
    <col min="10243" max="10243" width="15.28515625" style="481" customWidth="1"/>
    <col min="10244" max="10244" width="10.85546875" style="481" customWidth="1"/>
    <col min="10245" max="10245" width="8.28515625" style="481" customWidth="1"/>
    <col min="10246" max="10246" width="1.42578125" style="481" customWidth="1"/>
    <col min="10247" max="10247" width="3" style="481" customWidth="1"/>
    <col min="10248" max="10248" width="2.42578125" style="481" customWidth="1"/>
    <col min="10249" max="10249" width="3.28515625" style="481" customWidth="1"/>
    <col min="10250" max="10250" width="4.42578125" style="481" customWidth="1"/>
    <col min="10251" max="10251" width="12.5703125" style="481" customWidth="1"/>
    <col min="10252" max="10252" width="1.140625" style="481" customWidth="1"/>
    <col min="10253" max="10253" width="19.42578125" style="481" customWidth="1"/>
    <col min="10254" max="10496" width="13.7109375" style="481"/>
    <col min="10497" max="10497" width="7.85546875" style="481" customWidth="1"/>
    <col min="10498" max="10498" width="1.42578125" style="481" customWidth="1"/>
    <col min="10499" max="10499" width="15.28515625" style="481" customWidth="1"/>
    <col min="10500" max="10500" width="10.85546875" style="481" customWidth="1"/>
    <col min="10501" max="10501" width="8.28515625" style="481" customWidth="1"/>
    <col min="10502" max="10502" width="1.42578125" style="481" customWidth="1"/>
    <col min="10503" max="10503" width="3" style="481" customWidth="1"/>
    <col min="10504" max="10504" width="2.42578125" style="481" customWidth="1"/>
    <col min="10505" max="10505" width="3.28515625" style="481" customWidth="1"/>
    <col min="10506" max="10506" width="4.42578125" style="481" customWidth="1"/>
    <col min="10507" max="10507" width="12.5703125" style="481" customWidth="1"/>
    <col min="10508" max="10508" width="1.140625" style="481" customWidth="1"/>
    <col min="10509" max="10509" width="19.42578125" style="481" customWidth="1"/>
    <col min="10510" max="10752" width="13.7109375" style="481"/>
    <col min="10753" max="10753" width="7.85546875" style="481" customWidth="1"/>
    <col min="10754" max="10754" width="1.42578125" style="481" customWidth="1"/>
    <col min="10755" max="10755" width="15.28515625" style="481" customWidth="1"/>
    <col min="10756" max="10756" width="10.85546875" style="481" customWidth="1"/>
    <col min="10757" max="10757" width="8.28515625" style="481" customWidth="1"/>
    <col min="10758" max="10758" width="1.42578125" style="481" customWidth="1"/>
    <col min="10759" max="10759" width="3" style="481" customWidth="1"/>
    <col min="10760" max="10760" width="2.42578125" style="481" customWidth="1"/>
    <col min="10761" max="10761" width="3.28515625" style="481" customWidth="1"/>
    <col min="10762" max="10762" width="4.42578125" style="481" customWidth="1"/>
    <col min="10763" max="10763" width="12.5703125" style="481" customWidth="1"/>
    <col min="10764" max="10764" width="1.140625" style="481" customWidth="1"/>
    <col min="10765" max="10765" width="19.42578125" style="481" customWidth="1"/>
    <col min="10766" max="11008" width="13.7109375" style="481"/>
    <col min="11009" max="11009" width="7.85546875" style="481" customWidth="1"/>
    <col min="11010" max="11010" width="1.42578125" style="481" customWidth="1"/>
    <col min="11011" max="11011" width="15.28515625" style="481" customWidth="1"/>
    <col min="11012" max="11012" width="10.85546875" style="481" customWidth="1"/>
    <col min="11013" max="11013" width="8.28515625" style="481" customWidth="1"/>
    <col min="11014" max="11014" width="1.42578125" style="481" customWidth="1"/>
    <col min="11015" max="11015" width="3" style="481" customWidth="1"/>
    <col min="11016" max="11016" width="2.42578125" style="481" customWidth="1"/>
    <col min="11017" max="11017" width="3.28515625" style="481" customWidth="1"/>
    <col min="11018" max="11018" width="4.42578125" style="481" customWidth="1"/>
    <col min="11019" max="11019" width="12.5703125" style="481" customWidth="1"/>
    <col min="11020" max="11020" width="1.140625" style="481" customWidth="1"/>
    <col min="11021" max="11021" width="19.42578125" style="481" customWidth="1"/>
    <col min="11022" max="11264" width="13.7109375" style="481"/>
    <col min="11265" max="11265" width="7.85546875" style="481" customWidth="1"/>
    <col min="11266" max="11266" width="1.42578125" style="481" customWidth="1"/>
    <col min="11267" max="11267" width="15.28515625" style="481" customWidth="1"/>
    <col min="11268" max="11268" width="10.85546875" style="481" customWidth="1"/>
    <col min="11269" max="11269" width="8.28515625" style="481" customWidth="1"/>
    <col min="11270" max="11270" width="1.42578125" style="481" customWidth="1"/>
    <col min="11271" max="11271" width="3" style="481" customWidth="1"/>
    <col min="11272" max="11272" width="2.42578125" style="481" customWidth="1"/>
    <col min="11273" max="11273" width="3.28515625" style="481" customWidth="1"/>
    <col min="11274" max="11274" width="4.42578125" style="481" customWidth="1"/>
    <col min="11275" max="11275" width="12.5703125" style="481" customWidth="1"/>
    <col min="11276" max="11276" width="1.140625" style="481" customWidth="1"/>
    <col min="11277" max="11277" width="19.42578125" style="481" customWidth="1"/>
    <col min="11278" max="11520" width="13.7109375" style="481"/>
    <col min="11521" max="11521" width="7.85546875" style="481" customWidth="1"/>
    <col min="11522" max="11522" width="1.42578125" style="481" customWidth="1"/>
    <col min="11523" max="11523" width="15.28515625" style="481" customWidth="1"/>
    <col min="11524" max="11524" width="10.85546875" style="481" customWidth="1"/>
    <col min="11525" max="11525" width="8.28515625" style="481" customWidth="1"/>
    <col min="11526" max="11526" width="1.42578125" style="481" customWidth="1"/>
    <col min="11527" max="11527" width="3" style="481" customWidth="1"/>
    <col min="11528" max="11528" width="2.42578125" style="481" customWidth="1"/>
    <col min="11529" max="11529" width="3.28515625" style="481" customWidth="1"/>
    <col min="11530" max="11530" width="4.42578125" style="481" customWidth="1"/>
    <col min="11531" max="11531" width="12.5703125" style="481" customWidth="1"/>
    <col min="11532" max="11532" width="1.140625" style="481" customWidth="1"/>
    <col min="11533" max="11533" width="19.42578125" style="481" customWidth="1"/>
    <col min="11534" max="11776" width="13.7109375" style="481"/>
    <col min="11777" max="11777" width="7.85546875" style="481" customWidth="1"/>
    <col min="11778" max="11778" width="1.42578125" style="481" customWidth="1"/>
    <col min="11779" max="11779" width="15.28515625" style="481" customWidth="1"/>
    <col min="11780" max="11780" width="10.85546875" style="481" customWidth="1"/>
    <col min="11781" max="11781" width="8.28515625" style="481" customWidth="1"/>
    <col min="11782" max="11782" width="1.42578125" style="481" customWidth="1"/>
    <col min="11783" max="11783" width="3" style="481" customWidth="1"/>
    <col min="11784" max="11784" width="2.42578125" style="481" customWidth="1"/>
    <col min="11785" max="11785" width="3.28515625" style="481" customWidth="1"/>
    <col min="11786" max="11786" width="4.42578125" style="481" customWidth="1"/>
    <col min="11787" max="11787" width="12.5703125" style="481" customWidth="1"/>
    <col min="11788" max="11788" width="1.140625" style="481" customWidth="1"/>
    <col min="11789" max="11789" width="19.42578125" style="481" customWidth="1"/>
    <col min="11790" max="12032" width="13.7109375" style="481"/>
    <col min="12033" max="12033" width="7.85546875" style="481" customWidth="1"/>
    <col min="12034" max="12034" width="1.42578125" style="481" customWidth="1"/>
    <col min="12035" max="12035" width="15.28515625" style="481" customWidth="1"/>
    <col min="12036" max="12036" width="10.85546875" style="481" customWidth="1"/>
    <col min="12037" max="12037" width="8.28515625" style="481" customWidth="1"/>
    <col min="12038" max="12038" width="1.42578125" style="481" customWidth="1"/>
    <col min="12039" max="12039" width="3" style="481" customWidth="1"/>
    <col min="12040" max="12040" width="2.42578125" style="481" customWidth="1"/>
    <col min="12041" max="12041" width="3.28515625" style="481" customWidth="1"/>
    <col min="12042" max="12042" width="4.42578125" style="481" customWidth="1"/>
    <col min="12043" max="12043" width="12.5703125" style="481" customWidth="1"/>
    <col min="12044" max="12044" width="1.140625" style="481" customWidth="1"/>
    <col min="12045" max="12045" width="19.42578125" style="481" customWidth="1"/>
    <col min="12046" max="12288" width="13.7109375" style="481"/>
    <col min="12289" max="12289" width="7.85546875" style="481" customWidth="1"/>
    <col min="12290" max="12290" width="1.42578125" style="481" customWidth="1"/>
    <col min="12291" max="12291" width="15.28515625" style="481" customWidth="1"/>
    <col min="12292" max="12292" width="10.85546875" style="481" customWidth="1"/>
    <col min="12293" max="12293" width="8.28515625" style="481" customWidth="1"/>
    <col min="12294" max="12294" width="1.42578125" style="481" customWidth="1"/>
    <col min="12295" max="12295" width="3" style="481" customWidth="1"/>
    <col min="12296" max="12296" width="2.42578125" style="481" customWidth="1"/>
    <col min="12297" max="12297" width="3.28515625" style="481" customWidth="1"/>
    <col min="12298" max="12298" width="4.42578125" style="481" customWidth="1"/>
    <col min="12299" max="12299" width="12.5703125" style="481" customWidth="1"/>
    <col min="12300" max="12300" width="1.140625" style="481" customWidth="1"/>
    <col min="12301" max="12301" width="19.42578125" style="481" customWidth="1"/>
    <col min="12302" max="12544" width="13.7109375" style="481"/>
    <col min="12545" max="12545" width="7.85546875" style="481" customWidth="1"/>
    <col min="12546" max="12546" width="1.42578125" style="481" customWidth="1"/>
    <col min="12547" max="12547" width="15.28515625" style="481" customWidth="1"/>
    <col min="12548" max="12548" width="10.85546875" style="481" customWidth="1"/>
    <col min="12549" max="12549" width="8.28515625" style="481" customWidth="1"/>
    <col min="12550" max="12550" width="1.42578125" style="481" customWidth="1"/>
    <col min="12551" max="12551" width="3" style="481" customWidth="1"/>
    <col min="12552" max="12552" width="2.42578125" style="481" customWidth="1"/>
    <col min="12553" max="12553" width="3.28515625" style="481" customWidth="1"/>
    <col min="12554" max="12554" width="4.42578125" style="481" customWidth="1"/>
    <col min="12555" max="12555" width="12.5703125" style="481" customWidth="1"/>
    <col min="12556" max="12556" width="1.140625" style="481" customWidth="1"/>
    <col min="12557" max="12557" width="19.42578125" style="481" customWidth="1"/>
    <col min="12558" max="12800" width="13.7109375" style="481"/>
    <col min="12801" max="12801" width="7.85546875" style="481" customWidth="1"/>
    <col min="12802" max="12802" width="1.42578125" style="481" customWidth="1"/>
    <col min="12803" max="12803" width="15.28515625" style="481" customWidth="1"/>
    <col min="12804" max="12804" width="10.85546875" style="481" customWidth="1"/>
    <col min="12805" max="12805" width="8.28515625" style="481" customWidth="1"/>
    <col min="12806" max="12806" width="1.42578125" style="481" customWidth="1"/>
    <col min="12807" max="12807" width="3" style="481" customWidth="1"/>
    <col min="12808" max="12808" width="2.42578125" style="481" customWidth="1"/>
    <col min="12809" max="12809" width="3.28515625" style="481" customWidth="1"/>
    <col min="12810" max="12810" width="4.42578125" style="481" customWidth="1"/>
    <col min="12811" max="12811" width="12.5703125" style="481" customWidth="1"/>
    <col min="12812" max="12812" width="1.140625" style="481" customWidth="1"/>
    <col min="12813" max="12813" width="19.42578125" style="481" customWidth="1"/>
    <col min="12814" max="13056" width="13.7109375" style="481"/>
    <col min="13057" max="13057" width="7.85546875" style="481" customWidth="1"/>
    <col min="13058" max="13058" width="1.42578125" style="481" customWidth="1"/>
    <col min="13059" max="13059" width="15.28515625" style="481" customWidth="1"/>
    <col min="13060" max="13060" width="10.85546875" style="481" customWidth="1"/>
    <col min="13061" max="13061" width="8.28515625" style="481" customWidth="1"/>
    <col min="13062" max="13062" width="1.42578125" style="481" customWidth="1"/>
    <col min="13063" max="13063" width="3" style="481" customWidth="1"/>
    <col min="13064" max="13064" width="2.42578125" style="481" customWidth="1"/>
    <col min="13065" max="13065" width="3.28515625" style="481" customWidth="1"/>
    <col min="13066" max="13066" width="4.42578125" style="481" customWidth="1"/>
    <col min="13067" max="13067" width="12.5703125" style="481" customWidth="1"/>
    <col min="13068" max="13068" width="1.140625" style="481" customWidth="1"/>
    <col min="13069" max="13069" width="19.42578125" style="481" customWidth="1"/>
    <col min="13070" max="13312" width="13.7109375" style="481"/>
    <col min="13313" max="13313" width="7.85546875" style="481" customWidth="1"/>
    <col min="13314" max="13314" width="1.42578125" style="481" customWidth="1"/>
    <col min="13315" max="13315" width="15.28515625" style="481" customWidth="1"/>
    <col min="13316" max="13316" width="10.85546875" style="481" customWidth="1"/>
    <col min="13317" max="13317" width="8.28515625" style="481" customWidth="1"/>
    <col min="13318" max="13318" width="1.42578125" style="481" customWidth="1"/>
    <col min="13319" max="13319" width="3" style="481" customWidth="1"/>
    <col min="13320" max="13320" width="2.42578125" style="481" customWidth="1"/>
    <col min="13321" max="13321" width="3.28515625" style="481" customWidth="1"/>
    <col min="13322" max="13322" width="4.42578125" style="481" customWidth="1"/>
    <col min="13323" max="13323" width="12.5703125" style="481" customWidth="1"/>
    <col min="13324" max="13324" width="1.140625" style="481" customWidth="1"/>
    <col min="13325" max="13325" width="19.42578125" style="481" customWidth="1"/>
    <col min="13326" max="13568" width="13.7109375" style="481"/>
    <col min="13569" max="13569" width="7.85546875" style="481" customWidth="1"/>
    <col min="13570" max="13570" width="1.42578125" style="481" customWidth="1"/>
    <col min="13571" max="13571" width="15.28515625" style="481" customWidth="1"/>
    <col min="13572" max="13572" width="10.85546875" style="481" customWidth="1"/>
    <col min="13573" max="13573" width="8.28515625" style="481" customWidth="1"/>
    <col min="13574" max="13574" width="1.42578125" style="481" customWidth="1"/>
    <col min="13575" max="13575" width="3" style="481" customWidth="1"/>
    <col min="13576" max="13576" width="2.42578125" style="481" customWidth="1"/>
    <col min="13577" max="13577" width="3.28515625" style="481" customWidth="1"/>
    <col min="13578" max="13578" width="4.42578125" style="481" customWidth="1"/>
    <col min="13579" max="13579" width="12.5703125" style="481" customWidth="1"/>
    <col min="13580" max="13580" width="1.140625" style="481" customWidth="1"/>
    <col min="13581" max="13581" width="19.42578125" style="481" customWidth="1"/>
    <col min="13582" max="13824" width="13.7109375" style="481"/>
    <col min="13825" max="13825" width="7.85546875" style="481" customWidth="1"/>
    <col min="13826" max="13826" width="1.42578125" style="481" customWidth="1"/>
    <col min="13827" max="13827" width="15.28515625" style="481" customWidth="1"/>
    <col min="13828" max="13828" width="10.85546875" style="481" customWidth="1"/>
    <col min="13829" max="13829" width="8.28515625" style="481" customWidth="1"/>
    <col min="13830" max="13830" width="1.42578125" style="481" customWidth="1"/>
    <col min="13831" max="13831" width="3" style="481" customWidth="1"/>
    <col min="13832" max="13832" width="2.42578125" style="481" customWidth="1"/>
    <col min="13833" max="13833" width="3.28515625" style="481" customWidth="1"/>
    <col min="13834" max="13834" width="4.42578125" style="481" customWidth="1"/>
    <col min="13835" max="13835" width="12.5703125" style="481" customWidth="1"/>
    <col min="13836" max="13836" width="1.140625" style="481" customWidth="1"/>
    <col min="13837" max="13837" width="19.42578125" style="481" customWidth="1"/>
    <col min="13838" max="14080" width="13.7109375" style="481"/>
    <col min="14081" max="14081" width="7.85546875" style="481" customWidth="1"/>
    <col min="14082" max="14082" width="1.42578125" style="481" customWidth="1"/>
    <col min="14083" max="14083" width="15.28515625" style="481" customWidth="1"/>
    <col min="14084" max="14084" width="10.85546875" style="481" customWidth="1"/>
    <col min="14085" max="14085" width="8.28515625" style="481" customWidth="1"/>
    <col min="14086" max="14086" width="1.42578125" style="481" customWidth="1"/>
    <col min="14087" max="14087" width="3" style="481" customWidth="1"/>
    <col min="14088" max="14088" width="2.42578125" style="481" customWidth="1"/>
    <col min="14089" max="14089" width="3.28515625" style="481" customWidth="1"/>
    <col min="14090" max="14090" width="4.42578125" style="481" customWidth="1"/>
    <col min="14091" max="14091" width="12.5703125" style="481" customWidth="1"/>
    <col min="14092" max="14092" width="1.140625" style="481" customWidth="1"/>
    <col min="14093" max="14093" width="19.42578125" style="481" customWidth="1"/>
    <col min="14094" max="14336" width="13.7109375" style="481"/>
    <col min="14337" max="14337" width="7.85546875" style="481" customWidth="1"/>
    <col min="14338" max="14338" width="1.42578125" style="481" customWidth="1"/>
    <col min="14339" max="14339" width="15.28515625" style="481" customWidth="1"/>
    <col min="14340" max="14340" width="10.85546875" style="481" customWidth="1"/>
    <col min="14341" max="14341" width="8.28515625" style="481" customWidth="1"/>
    <col min="14342" max="14342" width="1.42578125" style="481" customWidth="1"/>
    <col min="14343" max="14343" width="3" style="481" customWidth="1"/>
    <col min="14344" max="14344" width="2.42578125" style="481" customWidth="1"/>
    <col min="14345" max="14345" width="3.28515625" style="481" customWidth="1"/>
    <col min="14346" max="14346" width="4.42578125" style="481" customWidth="1"/>
    <col min="14347" max="14347" width="12.5703125" style="481" customWidth="1"/>
    <col min="14348" max="14348" width="1.140625" style="481" customWidth="1"/>
    <col min="14349" max="14349" width="19.42578125" style="481" customWidth="1"/>
    <col min="14350" max="14592" width="13.7109375" style="481"/>
    <col min="14593" max="14593" width="7.85546875" style="481" customWidth="1"/>
    <col min="14594" max="14594" width="1.42578125" style="481" customWidth="1"/>
    <col min="14595" max="14595" width="15.28515625" style="481" customWidth="1"/>
    <col min="14596" max="14596" width="10.85546875" style="481" customWidth="1"/>
    <col min="14597" max="14597" width="8.28515625" style="481" customWidth="1"/>
    <col min="14598" max="14598" width="1.42578125" style="481" customWidth="1"/>
    <col min="14599" max="14599" width="3" style="481" customWidth="1"/>
    <col min="14600" max="14600" width="2.42578125" style="481" customWidth="1"/>
    <col min="14601" max="14601" width="3.28515625" style="481" customWidth="1"/>
    <col min="14602" max="14602" width="4.42578125" style="481" customWidth="1"/>
    <col min="14603" max="14603" width="12.5703125" style="481" customWidth="1"/>
    <col min="14604" max="14604" width="1.140625" style="481" customWidth="1"/>
    <col min="14605" max="14605" width="19.42578125" style="481" customWidth="1"/>
    <col min="14606" max="14848" width="13.7109375" style="481"/>
    <col min="14849" max="14849" width="7.85546875" style="481" customWidth="1"/>
    <col min="14850" max="14850" width="1.42578125" style="481" customWidth="1"/>
    <col min="14851" max="14851" width="15.28515625" style="481" customWidth="1"/>
    <col min="14852" max="14852" width="10.85546875" style="481" customWidth="1"/>
    <col min="14853" max="14853" width="8.28515625" style="481" customWidth="1"/>
    <col min="14854" max="14854" width="1.42578125" style="481" customWidth="1"/>
    <col min="14855" max="14855" width="3" style="481" customWidth="1"/>
    <col min="14856" max="14856" width="2.42578125" style="481" customWidth="1"/>
    <col min="14857" max="14857" width="3.28515625" style="481" customWidth="1"/>
    <col min="14858" max="14858" width="4.42578125" style="481" customWidth="1"/>
    <col min="14859" max="14859" width="12.5703125" style="481" customWidth="1"/>
    <col min="14860" max="14860" width="1.140625" style="481" customWidth="1"/>
    <col min="14861" max="14861" width="19.42578125" style="481" customWidth="1"/>
    <col min="14862" max="15104" width="13.7109375" style="481"/>
    <col min="15105" max="15105" width="7.85546875" style="481" customWidth="1"/>
    <col min="15106" max="15106" width="1.42578125" style="481" customWidth="1"/>
    <col min="15107" max="15107" width="15.28515625" style="481" customWidth="1"/>
    <col min="15108" max="15108" width="10.85546875" style="481" customWidth="1"/>
    <col min="15109" max="15109" width="8.28515625" style="481" customWidth="1"/>
    <col min="15110" max="15110" width="1.42578125" style="481" customWidth="1"/>
    <col min="15111" max="15111" width="3" style="481" customWidth="1"/>
    <col min="15112" max="15112" width="2.42578125" style="481" customWidth="1"/>
    <col min="15113" max="15113" width="3.28515625" style="481" customWidth="1"/>
    <col min="15114" max="15114" width="4.42578125" style="481" customWidth="1"/>
    <col min="15115" max="15115" width="12.5703125" style="481" customWidth="1"/>
    <col min="15116" max="15116" width="1.140625" style="481" customWidth="1"/>
    <col min="15117" max="15117" width="19.42578125" style="481" customWidth="1"/>
    <col min="15118" max="15360" width="13.7109375" style="481"/>
    <col min="15361" max="15361" width="7.85546875" style="481" customWidth="1"/>
    <col min="15362" max="15362" width="1.42578125" style="481" customWidth="1"/>
    <col min="15363" max="15363" width="15.28515625" style="481" customWidth="1"/>
    <col min="15364" max="15364" width="10.85546875" style="481" customWidth="1"/>
    <col min="15365" max="15365" width="8.28515625" style="481" customWidth="1"/>
    <col min="15366" max="15366" width="1.42578125" style="481" customWidth="1"/>
    <col min="15367" max="15367" width="3" style="481" customWidth="1"/>
    <col min="15368" max="15368" width="2.42578125" style="481" customWidth="1"/>
    <col min="15369" max="15369" width="3.28515625" style="481" customWidth="1"/>
    <col min="15370" max="15370" width="4.42578125" style="481" customWidth="1"/>
    <col min="15371" max="15371" width="12.5703125" style="481" customWidth="1"/>
    <col min="15372" max="15372" width="1.140625" style="481" customWidth="1"/>
    <col min="15373" max="15373" width="19.42578125" style="481" customWidth="1"/>
    <col min="15374" max="15616" width="13.7109375" style="481"/>
    <col min="15617" max="15617" width="7.85546875" style="481" customWidth="1"/>
    <col min="15618" max="15618" width="1.42578125" style="481" customWidth="1"/>
    <col min="15619" max="15619" width="15.28515625" style="481" customWidth="1"/>
    <col min="15620" max="15620" width="10.85546875" style="481" customWidth="1"/>
    <col min="15621" max="15621" width="8.28515625" style="481" customWidth="1"/>
    <col min="15622" max="15622" width="1.42578125" style="481" customWidth="1"/>
    <col min="15623" max="15623" width="3" style="481" customWidth="1"/>
    <col min="15624" max="15624" width="2.42578125" style="481" customWidth="1"/>
    <col min="15625" max="15625" width="3.28515625" style="481" customWidth="1"/>
    <col min="15626" max="15626" width="4.42578125" style="481" customWidth="1"/>
    <col min="15627" max="15627" width="12.5703125" style="481" customWidth="1"/>
    <col min="15628" max="15628" width="1.140625" style="481" customWidth="1"/>
    <col min="15629" max="15629" width="19.42578125" style="481" customWidth="1"/>
    <col min="15630" max="15872" width="13.7109375" style="481"/>
    <col min="15873" max="15873" width="7.85546875" style="481" customWidth="1"/>
    <col min="15874" max="15874" width="1.42578125" style="481" customWidth="1"/>
    <col min="15875" max="15875" width="15.28515625" style="481" customWidth="1"/>
    <col min="15876" max="15876" width="10.85546875" style="481" customWidth="1"/>
    <col min="15877" max="15877" width="8.28515625" style="481" customWidth="1"/>
    <col min="15878" max="15878" width="1.42578125" style="481" customWidth="1"/>
    <col min="15879" max="15879" width="3" style="481" customWidth="1"/>
    <col min="15880" max="15880" width="2.42578125" style="481" customWidth="1"/>
    <col min="15881" max="15881" width="3.28515625" style="481" customWidth="1"/>
    <col min="15882" max="15882" width="4.42578125" style="481" customWidth="1"/>
    <col min="15883" max="15883" width="12.5703125" style="481" customWidth="1"/>
    <col min="15884" max="15884" width="1.140625" style="481" customWidth="1"/>
    <col min="15885" max="15885" width="19.42578125" style="481" customWidth="1"/>
    <col min="15886" max="16128" width="13.7109375" style="481"/>
    <col min="16129" max="16129" width="7.85546875" style="481" customWidth="1"/>
    <col min="16130" max="16130" width="1.42578125" style="481" customWidth="1"/>
    <col min="16131" max="16131" width="15.28515625" style="481" customWidth="1"/>
    <col min="16132" max="16132" width="10.85546875" style="481" customWidth="1"/>
    <col min="16133" max="16133" width="8.28515625" style="481" customWidth="1"/>
    <col min="16134" max="16134" width="1.42578125" style="481" customWidth="1"/>
    <col min="16135" max="16135" width="3" style="481" customWidth="1"/>
    <col min="16136" max="16136" width="2.42578125" style="481" customWidth="1"/>
    <col min="16137" max="16137" width="3.28515625" style="481" customWidth="1"/>
    <col min="16138" max="16138" width="4.42578125" style="481" customWidth="1"/>
    <col min="16139" max="16139" width="12.5703125" style="481" customWidth="1"/>
    <col min="16140" max="16140" width="1.140625" style="481" customWidth="1"/>
    <col min="16141" max="16141" width="19.42578125" style="481" customWidth="1"/>
    <col min="16142" max="16384" width="13.7109375" style="481"/>
  </cols>
  <sheetData>
    <row r="1" spans="1:13" ht="13.5" thickBot="1">
      <c r="A1" s="477"/>
      <c r="B1" s="478"/>
      <c r="C1" s="478"/>
      <c r="D1" s="477"/>
      <c r="E1" s="478"/>
      <c r="F1" s="478"/>
      <c r="G1" s="478"/>
      <c r="H1" s="478"/>
      <c r="I1" s="478"/>
      <c r="J1" s="477"/>
      <c r="K1" s="479"/>
      <c r="L1" s="479"/>
      <c r="M1" s="480"/>
    </row>
    <row r="2" spans="1:13" s="486" customFormat="1" ht="16.5" thickTop="1">
      <c r="A2" s="482"/>
      <c r="B2" s="483"/>
      <c r="C2" s="483"/>
      <c r="D2" s="482"/>
      <c r="E2" s="483"/>
      <c r="F2" s="483"/>
      <c r="G2" s="483"/>
      <c r="H2" s="483"/>
      <c r="I2" s="483"/>
      <c r="J2" s="482"/>
      <c r="K2" s="484"/>
      <c r="L2" s="484"/>
      <c r="M2" s="485"/>
    </row>
    <row r="3" spans="1:13" s="486" customFormat="1" ht="15.75">
      <c r="A3" s="482"/>
      <c r="B3" s="483"/>
      <c r="C3" s="487" t="s">
        <v>491</v>
      </c>
      <c r="D3" s="482"/>
      <c r="E3" s="483"/>
      <c r="F3" s="483"/>
      <c r="G3" s="483"/>
      <c r="H3" s="483"/>
      <c r="I3" s="483"/>
      <c r="J3" s="482"/>
      <c r="K3" s="484"/>
      <c r="L3" s="484"/>
      <c r="M3" s="485"/>
    </row>
    <row r="4" spans="1:13" s="483" customFormat="1" ht="15.75">
      <c r="A4" s="482"/>
      <c r="C4" s="487"/>
      <c r="D4" s="482"/>
      <c r="J4" s="482"/>
      <c r="K4" s="484"/>
      <c r="L4" s="484"/>
      <c r="M4" s="485"/>
    </row>
    <row r="5" spans="1:13" ht="16.5" thickBot="1">
      <c r="A5" s="482"/>
      <c r="B5" s="483"/>
      <c r="C5" s="487"/>
      <c r="D5" s="482"/>
      <c r="E5" s="483"/>
      <c r="F5" s="483"/>
      <c r="G5" s="483"/>
      <c r="H5" s="483"/>
      <c r="I5" s="483"/>
      <c r="J5" s="482"/>
      <c r="K5" s="484"/>
      <c r="L5" s="484"/>
      <c r="M5" s="485"/>
    </row>
    <row r="6" spans="1:13" ht="16.5" thickBot="1">
      <c r="A6" s="482"/>
      <c r="B6" s="483"/>
      <c r="C6" s="488" t="s">
        <v>492</v>
      </c>
      <c r="D6" s="489"/>
      <c r="E6" s="490"/>
      <c r="F6" s="490"/>
      <c r="G6" s="490"/>
      <c r="H6" s="490"/>
      <c r="I6" s="490"/>
      <c r="J6" s="489"/>
      <c r="K6" s="491"/>
      <c r="L6" s="491"/>
      <c r="M6" s="492">
        <f>SUM(M434)</f>
        <v>0</v>
      </c>
    </row>
    <row r="7" spans="1:13" s="483" customFormat="1" ht="16.5" thickBot="1">
      <c r="A7" s="482"/>
      <c r="D7" s="482"/>
      <c r="J7" s="482"/>
      <c r="K7" s="484"/>
      <c r="L7" s="484"/>
      <c r="M7" s="485"/>
    </row>
    <row r="8" spans="1:13" ht="16.5" thickBot="1">
      <c r="A8" s="482"/>
      <c r="B8" s="483"/>
      <c r="C8" s="488" t="s">
        <v>493</v>
      </c>
      <c r="D8" s="489"/>
      <c r="E8" s="490"/>
      <c r="F8" s="490"/>
      <c r="G8" s="490"/>
      <c r="H8" s="490"/>
      <c r="I8" s="490"/>
      <c r="J8" s="489"/>
      <c r="K8" s="491"/>
      <c r="L8" s="491"/>
      <c r="M8" s="492">
        <f>SUM(M479)</f>
        <v>0</v>
      </c>
    </row>
    <row r="9" spans="1:13" s="493" customFormat="1" ht="15.75">
      <c r="A9" s="482"/>
      <c r="B9" s="483"/>
      <c r="C9" s="483"/>
      <c r="D9" s="482"/>
      <c r="E9" s="483"/>
      <c r="F9" s="483"/>
      <c r="G9" s="483"/>
      <c r="H9" s="483"/>
      <c r="I9" s="483"/>
      <c r="J9" s="482"/>
      <c r="K9" s="484"/>
      <c r="L9" s="484"/>
      <c r="M9" s="485"/>
    </row>
    <row r="10" spans="1:13" ht="16.5" thickBot="1">
      <c r="A10" s="482"/>
      <c r="B10" s="494"/>
      <c r="C10" s="494"/>
      <c r="D10" s="495"/>
      <c r="E10" s="494"/>
      <c r="F10" s="494"/>
      <c r="G10" s="494"/>
      <c r="H10" s="494"/>
      <c r="I10" s="494"/>
      <c r="J10" s="495"/>
      <c r="K10" s="496"/>
      <c r="L10" s="496"/>
      <c r="M10" s="497"/>
    </row>
    <row r="11" spans="1:13" ht="17.25" thickTop="1" thickBot="1">
      <c r="A11" s="482"/>
      <c r="B11" s="494"/>
      <c r="C11" s="498"/>
      <c r="D11" s="499"/>
      <c r="E11" s="498"/>
      <c r="F11" s="498"/>
      <c r="G11" s="498"/>
      <c r="H11" s="498"/>
      <c r="I11" s="498"/>
      <c r="J11" s="499"/>
      <c r="K11" s="500"/>
      <c r="L11" s="500"/>
      <c r="M11" s="501"/>
    </row>
    <row r="12" spans="1:13" ht="16.5" thickBot="1">
      <c r="A12" s="482"/>
      <c r="B12" s="483"/>
      <c r="C12" s="488" t="s">
        <v>494</v>
      </c>
      <c r="D12" s="502"/>
      <c r="E12" s="483"/>
      <c r="F12" s="483"/>
      <c r="G12" s="483"/>
      <c r="H12" s="483"/>
      <c r="I12" s="483"/>
      <c r="J12" s="482"/>
      <c r="K12" s="484"/>
      <c r="L12" s="484"/>
      <c r="M12" s="485">
        <f>SUM(M6:M9)</f>
        <v>0</v>
      </c>
    </row>
    <row r="13" spans="1:13" ht="15.75">
      <c r="A13" s="482"/>
      <c r="B13" s="483"/>
      <c r="C13" s="483"/>
      <c r="D13" s="482"/>
      <c r="E13" s="483"/>
      <c r="F13" s="483"/>
      <c r="G13" s="483"/>
      <c r="H13" s="483" t="s">
        <v>495</v>
      </c>
      <c r="I13" s="483" t="s">
        <v>496</v>
      </c>
      <c r="J13" s="482"/>
      <c r="K13" s="484"/>
      <c r="L13" s="484"/>
      <c r="M13" s="485">
        <f>SUM(M12*0.22)</f>
        <v>0</v>
      </c>
    </row>
    <row r="14" spans="1:13" ht="16.5" thickBot="1">
      <c r="A14" s="482"/>
      <c r="B14" s="494"/>
      <c r="C14" s="503"/>
      <c r="D14" s="504"/>
      <c r="E14" s="503"/>
      <c r="F14" s="503"/>
      <c r="G14" s="503"/>
      <c r="H14" s="503"/>
      <c r="I14" s="503"/>
      <c r="J14" s="504"/>
      <c r="K14" s="505"/>
      <c r="L14" s="505"/>
      <c r="M14" s="506"/>
    </row>
    <row r="15" spans="1:13" ht="16.5" thickTop="1">
      <c r="A15" s="482"/>
      <c r="B15" s="483"/>
      <c r="C15" s="483"/>
      <c r="D15" s="482"/>
      <c r="E15" s="483"/>
      <c r="F15" s="483"/>
      <c r="G15" s="483"/>
      <c r="H15" s="483" t="s">
        <v>198</v>
      </c>
      <c r="I15" s="483"/>
      <c r="J15" s="482"/>
      <c r="K15" s="484"/>
      <c r="L15" s="484"/>
      <c r="M15" s="485">
        <f>SUM(M12:M13)</f>
        <v>0</v>
      </c>
    </row>
    <row r="16" spans="1:13" ht="15.75">
      <c r="A16" s="482"/>
      <c r="B16" s="494"/>
      <c r="C16" s="494"/>
      <c r="D16" s="495"/>
      <c r="E16" s="494"/>
      <c r="F16" s="494"/>
      <c r="G16" s="494"/>
      <c r="H16" s="494"/>
      <c r="I16" s="494"/>
      <c r="J16" s="495"/>
      <c r="K16" s="496"/>
      <c r="L16" s="496"/>
      <c r="M16" s="497"/>
    </row>
    <row r="17" spans="1:13" ht="15.75">
      <c r="A17" s="482"/>
      <c r="B17" s="494"/>
      <c r="C17" s="494"/>
      <c r="D17" s="495"/>
      <c r="E17" s="494"/>
      <c r="F17" s="494"/>
      <c r="G17" s="494"/>
      <c r="H17" s="494"/>
      <c r="I17" s="494"/>
      <c r="J17" s="495"/>
      <c r="K17" s="496"/>
      <c r="L17" s="496"/>
      <c r="M17" s="497"/>
    </row>
    <row r="18" spans="1:13" ht="15.75">
      <c r="A18" s="482"/>
      <c r="B18" s="494"/>
      <c r="C18" s="494"/>
      <c r="D18" s="495"/>
      <c r="E18" s="494"/>
      <c r="F18" s="494"/>
      <c r="G18" s="494"/>
      <c r="H18" s="494"/>
      <c r="I18" s="494"/>
      <c r="J18" s="495"/>
      <c r="K18" s="496"/>
      <c r="L18" s="496"/>
      <c r="M18" s="497"/>
    </row>
    <row r="19" spans="1:13" ht="15.75">
      <c r="A19" s="482"/>
      <c r="B19" s="494"/>
      <c r="C19" s="494"/>
      <c r="D19" s="495"/>
      <c r="E19" s="494"/>
      <c r="F19" s="494"/>
      <c r="G19" s="494"/>
      <c r="H19" s="494"/>
      <c r="I19" s="494"/>
      <c r="J19" s="495"/>
      <c r="K19" s="496"/>
      <c r="L19" s="496"/>
      <c r="M19" s="497"/>
    </row>
    <row r="20" spans="1:13" ht="15.75">
      <c r="A20" s="482"/>
      <c r="B20" s="494"/>
      <c r="C20" s="494"/>
      <c r="D20" s="495"/>
      <c r="E20" s="494"/>
      <c r="F20" s="494"/>
      <c r="G20" s="494"/>
      <c r="H20" s="494"/>
      <c r="I20" s="494"/>
      <c r="J20" s="495"/>
      <c r="K20" s="496"/>
      <c r="L20" s="496"/>
      <c r="M20" s="497"/>
    </row>
    <row r="21" spans="1:13" ht="15.75">
      <c r="A21" s="482"/>
      <c r="B21" s="494"/>
      <c r="C21" s="494"/>
      <c r="D21" s="495"/>
      <c r="E21" s="494"/>
      <c r="F21" s="494"/>
      <c r="G21" s="494"/>
      <c r="H21" s="494"/>
      <c r="I21" s="494"/>
      <c r="J21" s="495"/>
      <c r="K21" s="496"/>
      <c r="L21" s="496"/>
      <c r="M21" s="497"/>
    </row>
    <row r="22" spans="1:13" ht="15.75">
      <c r="A22" s="482"/>
      <c r="B22" s="494"/>
      <c r="C22" s="494"/>
      <c r="D22" s="495"/>
      <c r="E22" s="494"/>
      <c r="F22" s="494"/>
      <c r="G22" s="494"/>
      <c r="H22" s="494"/>
      <c r="I22" s="494"/>
      <c r="J22" s="495"/>
      <c r="K22" s="496"/>
      <c r="L22" s="496"/>
      <c r="M22" s="497"/>
    </row>
    <row r="23" spans="1:13" ht="15.75">
      <c r="A23" s="482"/>
      <c r="B23" s="494"/>
      <c r="C23" s="494"/>
      <c r="D23" s="495"/>
      <c r="E23" s="494"/>
      <c r="F23" s="494"/>
      <c r="G23" s="494"/>
      <c r="H23" s="494"/>
      <c r="I23" s="494"/>
      <c r="J23" s="495"/>
      <c r="K23" s="496"/>
      <c r="L23" s="496"/>
      <c r="M23" s="497"/>
    </row>
    <row r="28" spans="1:13" s="493" customFormat="1">
      <c r="A28" s="507"/>
      <c r="B28" s="481"/>
      <c r="C28" s="481"/>
      <c r="D28" s="508"/>
      <c r="E28" s="481"/>
      <c r="F28" s="481"/>
      <c r="G28" s="481"/>
      <c r="H28" s="481"/>
      <c r="I28" s="481"/>
      <c r="J28" s="508"/>
      <c r="K28" s="509"/>
      <c r="L28" s="509"/>
      <c r="M28" s="510"/>
    </row>
    <row r="29" spans="1:13" s="493" customFormat="1">
      <c r="A29" s="507"/>
      <c r="B29" s="481"/>
      <c r="C29" s="481"/>
      <c r="D29" s="508"/>
      <c r="E29" s="481"/>
      <c r="F29" s="481"/>
      <c r="G29" s="481"/>
      <c r="H29" s="481"/>
      <c r="I29" s="481"/>
      <c r="J29" s="508"/>
      <c r="K29" s="509"/>
      <c r="L29" s="509"/>
      <c r="M29" s="510"/>
    </row>
    <row r="30" spans="1:13" s="493" customFormat="1">
      <c r="A30" s="507"/>
      <c r="B30" s="481"/>
      <c r="C30" s="481"/>
      <c r="D30" s="508"/>
      <c r="E30" s="481"/>
      <c r="F30" s="481"/>
      <c r="G30" s="481"/>
      <c r="H30" s="481"/>
      <c r="I30" s="481"/>
      <c r="J30" s="508"/>
      <c r="K30" s="509"/>
      <c r="L30" s="509"/>
      <c r="M30" s="510"/>
    </row>
    <row r="31" spans="1:13" s="493" customFormat="1">
      <c r="A31" s="507"/>
      <c r="B31" s="481"/>
      <c r="C31" s="481"/>
      <c r="D31" s="508"/>
      <c r="E31" s="481"/>
      <c r="F31" s="481"/>
      <c r="G31" s="481"/>
      <c r="H31" s="481"/>
      <c r="I31" s="481"/>
      <c r="J31" s="508"/>
      <c r="K31" s="509"/>
      <c r="L31" s="509"/>
      <c r="M31" s="510"/>
    </row>
    <row r="39" spans="1:13" s="493" customFormat="1">
      <c r="A39" s="507"/>
      <c r="D39" s="507"/>
      <c r="J39" s="507"/>
      <c r="K39" s="511"/>
      <c r="L39" s="511"/>
      <c r="M39" s="512"/>
    </row>
    <row r="40" spans="1:13" s="493" customFormat="1">
      <c r="A40" s="507"/>
      <c r="B40" s="481"/>
      <c r="C40" s="481"/>
      <c r="D40" s="508"/>
      <c r="E40" s="481"/>
      <c r="F40" s="481"/>
      <c r="G40" s="481"/>
      <c r="H40" s="481"/>
      <c r="I40" s="481"/>
      <c r="J40" s="508"/>
      <c r="K40" s="509"/>
      <c r="L40" s="509"/>
      <c r="M40" s="510"/>
    </row>
    <row r="41" spans="1:13" s="493" customFormat="1">
      <c r="A41" s="507"/>
      <c r="B41" s="481"/>
      <c r="C41" s="481"/>
      <c r="D41" s="508"/>
      <c r="E41" s="481"/>
      <c r="F41" s="481"/>
      <c r="G41" s="481"/>
      <c r="H41" s="481"/>
      <c r="I41" s="481"/>
      <c r="J41" s="508"/>
      <c r="K41" s="509"/>
      <c r="L41" s="509"/>
      <c r="M41" s="510"/>
    </row>
    <row r="42" spans="1:13">
      <c r="D42" s="481"/>
      <c r="J42" s="481"/>
      <c r="K42" s="481"/>
      <c r="L42" s="481"/>
      <c r="M42" s="513"/>
    </row>
    <row r="43" spans="1:13">
      <c r="D43" s="481"/>
      <c r="J43" s="481"/>
      <c r="K43" s="481"/>
      <c r="L43" s="481"/>
      <c r="M43" s="513"/>
    </row>
    <row r="44" spans="1:13" s="483" customFormat="1" ht="15.75">
      <c r="A44" s="507"/>
      <c r="B44" s="481"/>
      <c r="C44" s="481"/>
      <c r="D44" s="508"/>
      <c r="E44" s="481"/>
      <c r="F44" s="481"/>
      <c r="G44" s="481"/>
      <c r="H44" s="481"/>
      <c r="I44" s="481"/>
      <c r="J44" s="508"/>
      <c r="K44" s="509"/>
      <c r="L44" s="509"/>
      <c r="M44" s="510"/>
    </row>
    <row r="45" spans="1:13" s="493" customFormat="1">
      <c r="A45" s="507"/>
      <c r="B45" s="481"/>
      <c r="C45" s="481"/>
      <c r="D45" s="508"/>
      <c r="E45" s="481"/>
      <c r="F45" s="481"/>
      <c r="G45" s="481"/>
      <c r="H45" s="481"/>
      <c r="I45" s="481"/>
      <c r="J45" s="508"/>
      <c r="K45" s="509"/>
      <c r="L45" s="509"/>
      <c r="M45" s="510"/>
    </row>
    <row r="46" spans="1:13" s="493" customFormat="1">
      <c r="A46" s="507"/>
      <c r="B46" s="481"/>
      <c r="C46" s="514"/>
      <c r="D46" s="515"/>
      <c r="E46" s="516"/>
      <c r="F46" s="516"/>
      <c r="G46" s="516"/>
      <c r="H46" s="516"/>
      <c r="I46" s="516"/>
      <c r="J46" s="515"/>
      <c r="K46" s="517"/>
      <c r="L46" s="517"/>
      <c r="M46" s="518" t="s">
        <v>497</v>
      </c>
    </row>
    <row r="47" spans="1:13" s="493" customFormat="1">
      <c r="A47" s="507"/>
      <c r="B47" s="481"/>
      <c r="C47" s="481"/>
      <c r="D47" s="508"/>
      <c r="E47" s="481"/>
      <c r="F47" s="481"/>
      <c r="G47" s="481"/>
      <c r="H47" s="481"/>
      <c r="I47" s="481"/>
      <c r="J47" s="508"/>
      <c r="K47" s="509"/>
      <c r="L47" s="509"/>
      <c r="M47" s="519"/>
    </row>
    <row r="48" spans="1:13" s="493" customFormat="1" ht="13.5" thickBot="1">
      <c r="A48" s="477"/>
      <c r="B48" s="520"/>
      <c r="C48" s="520"/>
      <c r="D48" s="521"/>
      <c r="E48" s="520"/>
      <c r="F48" s="520"/>
      <c r="G48" s="520"/>
      <c r="H48" s="520"/>
      <c r="I48" s="520"/>
      <c r="J48" s="521"/>
      <c r="K48" s="522"/>
      <c r="L48" s="522"/>
      <c r="M48" s="523"/>
    </row>
    <row r="49" spans="1:13" s="493" customFormat="1" ht="13.5" thickTop="1">
      <c r="A49" s="524"/>
      <c r="B49" s="486"/>
      <c r="C49" s="486"/>
      <c r="D49" s="525"/>
      <c r="E49" s="486"/>
      <c r="F49" s="486"/>
      <c r="G49" s="486"/>
      <c r="H49" s="486"/>
      <c r="I49" s="486"/>
      <c r="J49" s="525"/>
      <c r="K49" s="526"/>
      <c r="L49" s="526"/>
      <c r="M49" s="527"/>
    </row>
    <row r="50" spans="1:13" s="493" customFormat="1" ht="15.75">
      <c r="A50" s="482"/>
      <c r="B50" s="483"/>
      <c r="C50" s="483" t="s">
        <v>498</v>
      </c>
      <c r="D50" s="483"/>
      <c r="E50" s="483"/>
      <c r="F50" s="482"/>
      <c r="G50" s="483"/>
      <c r="H50" s="483"/>
      <c r="I50" s="483"/>
      <c r="J50" s="482"/>
      <c r="K50" s="484"/>
      <c r="L50" s="484"/>
      <c r="M50" s="485"/>
    </row>
    <row r="51" spans="1:13" s="493" customFormat="1">
      <c r="B51" s="481"/>
      <c r="C51" s="481" t="s">
        <v>499</v>
      </c>
      <c r="D51" s="481"/>
      <c r="E51" s="481"/>
      <c r="F51" s="508"/>
      <c r="G51" s="481"/>
      <c r="H51" s="481"/>
      <c r="I51" s="481"/>
      <c r="J51" s="508"/>
      <c r="K51" s="509"/>
      <c r="L51" s="509"/>
      <c r="M51" s="510"/>
    </row>
    <row r="52" spans="1:13" s="486" customFormat="1">
      <c r="A52" s="507"/>
      <c r="B52" s="481"/>
      <c r="C52" s="481"/>
      <c r="D52" s="508"/>
      <c r="E52" s="481"/>
      <c r="F52" s="481"/>
      <c r="G52" s="481"/>
      <c r="H52" s="481"/>
      <c r="I52" s="481"/>
      <c r="J52" s="481"/>
      <c r="K52" s="509"/>
      <c r="L52" s="509"/>
      <c r="M52" s="510"/>
    </row>
    <row r="53" spans="1:13" s="486" customFormat="1" ht="15.75">
      <c r="A53" s="482" t="s">
        <v>500</v>
      </c>
      <c r="B53" s="483"/>
      <c r="C53" s="487" t="s">
        <v>178</v>
      </c>
      <c r="D53" s="482"/>
      <c r="E53" s="483"/>
      <c r="F53" s="483"/>
      <c r="G53" s="483"/>
      <c r="H53" s="483"/>
      <c r="I53" s="483"/>
      <c r="J53" s="482"/>
      <c r="K53" s="484"/>
      <c r="L53" s="484"/>
      <c r="M53" s="485"/>
    </row>
    <row r="54" spans="1:13" s="483" customFormat="1" ht="15.75">
      <c r="A54" s="507"/>
      <c r="B54" s="481"/>
      <c r="C54" s="481"/>
      <c r="D54" s="508"/>
      <c r="E54" s="481"/>
      <c r="F54" s="481"/>
      <c r="G54" s="481"/>
      <c r="H54" s="481"/>
      <c r="I54" s="481"/>
      <c r="J54" s="508"/>
      <c r="K54" s="509"/>
      <c r="L54" s="509"/>
      <c r="M54" s="510"/>
    </row>
    <row r="55" spans="1:13">
      <c r="A55" s="507" t="s">
        <v>501</v>
      </c>
      <c r="B55" s="493"/>
      <c r="C55" s="493" t="s">
        <v>247</v>
      </c>
      <c r="D55" s="507"/>
      <c r="E55" s="493"/>
      <c r="F55" s="493"/>
      <c r="G55" s="493"/>
      <c r="H55" s="493"/>
      <c r="I55" s="493"/>
      <c r="J55" s="507"/>
      <c r="K55" s="511"/>
      <c r="L55" s="511"/>
      <c r="M55" s="512"/>
    </row>
    <row r="56" spans="1:13" s="493" customFormat="1">
      <c r="A56" s="507"/>
      <c r="B56" s="481"/>
      <c r="C56" s="481"/>
      <c r="D56" s="508"/>
      <c r="E56" s="481"/>
      <c r="F56" s="481"/>
      <c r="G56" s="481"/>
      <c r="H56" s="481"/>
      <c r="I56" s="481"/>
      <c r="J56" s="508"/>
      <c r="K56" s="509"/>
      <c r="L56" s="509"/>
      <c r="M56" s="510"/>
    </row>
    <row r="57" spans="1:13">
      <c r="A57" s="507" t="s">
        <v>502</v>
      </c>
      <c r="C57" s="481" t="s">
        <v>503</v>
      </c>
    </row>
    <row r="58" spans="1:13">
      <c r="C58" s="481" t="s">
        <v>504</v>
      </c>
    </row>
    <row r="59" spans="1:13">
      <c r="C59" s="481" t="s">
        <v>505</v>
      </c>
    </row>
    <row r="61" spans="1:13">
      <c r="C61" s="481" t="s">
        <v>182</v>
      </c>
      <c r="D61" s="508">
        <v>1</v>
      </c>
      <c r="K61" s="775"/>
      <c r="M61" s="510">
        <f>D61*K61</f>
        <v>0</v>
      </c>
    </row>
    <row r="63" spans="1:13">
      <c r="A63" s="507" t="s">
        <v>506</v>
      </c>
      <c r="C63" s="481" t="s">
        <v>507</v>
      </c>
    </row>
    <row r="65" spans="1:13">
      <c r="C65" s="481" t="s">
        <v>182</v>
      </c>
      <c r="D65" s="508">
        <v>1</v>
      </c>
      <c r="K65" s="775"/>
      <c r="M65" s="510">
        <f>D65*K65</f>
        <v>0</v>
      </c>
    </row>
    <row r="67" spans="1:13">
      <c r="A67" s="507">
        <v>37622</v>
      </c>
      <c r="C67" s="481" t="s">
        <v>508</v>
      </c>
    </row>
    <row r="68" spans="1:13">
      <c r="C68" s="481" t="s">
        <v>509</v>
      </c>
    </row>
    <row r="69" spans="1:13">
      <c r="C69" s="481" t="s">
        <v>510</v>
      </c>
    </row>
    <row r="71" spans="1:13">
      <c r="C71" s="481" t="s">
        <v>182</v>
      </c>
      <c r="D71" s="508">
        <v>1</v>
      </c>
      <c r="K71" s="775"/>
      <c r="M71" s="510">
        <f>D71*K71</f>
        <v>0</v>
      </c>
    </row>
    <row r="72" spans="1:13" s="493" customFormat="1" ht="13.5" thickBot="1">
      <c r="A72" s="507"/>
      <c r="B72" s="481"/>
      <c r="C72" s="481"/>
      <c r="D72" s="508"/>
      <c r="E72" s="481"/>
      <c r="F72" s="481"/>
      <c r="G72" s="481"/>
      <c r="H72" s="481"/>
      <c r="I72" s="481"/>
      <c r="J72" s="508"/>
      <c r="K72" s="509"/>
      <c r="L72" s="509"/>
      <c r="M72" s="510"/>
    </row>
    <row r="73" spans="1:13" s="493" customFormat="1" ht="13.5" thickTop="1">
      <c r="A73" s="507"/>
      <c r="B73" s="481"/>
      <c r="C73" s="528"/>
      <c r="D73" s="529"/>
      <c r="E73" s="528"/>
      <c r="F73" s="528"/>
      <c r="G73" s="528"/>
      <c r="H73" s="528"/>
      <c r="I73" s="528"/>
      <c r="J73" s="529"/>
      <c r="K73" s="530"/>
      <c r="L73" s="530"/>
      <c r="M73" s="531"/>
    </row>
    <row r="74" spans="1:13" s="493" customFormat="1">
      <c r="A74" s="507" t="s">
        <v>511</v>
      </c>
      <c r="C74" s="493" t="s">
        <v>512</v>
      </c>
      <c r="D74" s="507"/>
      <c r="J74" s="507"/>
      <c r="K74" s="511"/>
      <c r="L74" s="511"/>
      <c r="M74" s="512">
        <f>SUM(M59:M71)</f>
        <v>0</v>
      </c>
    </row>
    <row r="75" spans="1:13" s="493" customFormat="1">
      <c r="A75" s="507"/>
      <c r="D75" s="507"/>
      <c r="J75" s="507"/>
      <c r="K75" s="511"/>
      <c r="L75" s="511"/>
      <c r="M75" s="512"/>
    </row>
    <row r="76" spans="1:13" s="493" customFormat="1" ht="13.5" thickBot="1">
      <c r="A76" s="507"/>
      <c r="B76" s="481"/>
      <c r="C76" s="481"/>
      <c r="D76" s="508"/>
      <c r="E76" s="481"/>
      <c r="F76" s="481"/>
      <c r="G76" s="481"/>
      <c r="H76" s="481"/>
      <c r="I76" s="481"/>
      <c r="J76" s="508"/>
      <c r="K76" s="509"/>
      <c r="L76" s="509"/>
      <c r="M76" s="510"/>
    </row>
    <row r="77" spans="1:13" s="493" customFormat="1" ht="14.25" thickTop="1" thickBot="1">
      <c r="A77" s="507"/>
      <c r="B77" s="481"/>
      <c r="C77" s="528"/>
      <c r="D77" s="529"/>
      <c r="E77" s="528"/>
      <c r="F77" s="528"/>
      <c r="G77" s="528"/>
      <c r="H77" s="528"/>
      <c r="I77" s="528"/>
      <c r="J77" s="529"/>
      <c r="K77" s="530"/>
      <c r="L77" s="530"/>
      <c r="M77" s="531"/>
    </row>
    <row r="78" spans="1:13" ht="16.5" thickBot="1">
      <c r="A78" s="482"/>
      <c r="B78" s="483"/>
      <c r="C78" s="488" t="s">
        <v>75</v>
      </c>
      <c r="D78" s="489"/>
      <c r="E78" s="490"/>
      <c r="F78" s="490"/>
      <c r="G78" s="490"/>
      <c r="H78" s="490"/>
      <c r="I78" s="490"/>
      <c r="J78" s="489"/>
      <c r="K78" s="491"/>
      <c r="L78" s="491"/>
      <c r="M78" s="492">
        <f>SUM(M74)</f>
        <v>0</v>
      </c>
    </row>
    <row r="79" spans="1:13">
      <c r="B79" s="493"/>
      <c r="C79" s="493"/>
      <c r="D79" s="507"/>
      <c r="E79" s="493"/>
      <c r="F79" s="493"/>
      <c r="G79" s="493"/>
      <c r="H79" s="493"/>
      <c r="I79" s="493"/>
      <c r="J79" s="507"/>
      <c r="K79" s="511"/>
      <c r="L79" s="511"/>
      <c r="M79" s="512"/>
    </row>
    <row r="80" spans="1:13">
      <c r="B80" s="493"/>
      <c r="C80" s="493"/>
      <c r="D80" s="507"/>
      <c r="E80" s="493"/>
      <c r="F80" s="493"/>
      <c r="G80" s="493"/>
      <c r="H80" s="493"/>
      <c r="I80" s="493"/>
      <c r="J80" s="507"/>
      <c r="K80" s="511"/>
      <c r="L80" s="511"/>
      <c r="M80" s="512"/>
    </row>
    <row r="81" spans="1:13">
      <c r="B81" s="493"/>
      <c r="C81" s="493"/>
      <c r="D81" s="507"/>
      <c r="E81" s="493"/>
      <c r="F81" s="493"/>
      <c r="G81" s="493"/>
      <c r="H81" s="493"/>
      <c r="I81" s="493"/>
      <c r="J81" s="507"/>
      <c r="K81" s="511"/>
      <c r="L81" s="511"/>
      <c r="M81" s="512"/>
    </row>
    <row r="82" spans="1:13">
      <c r="B82" s="493"/>
      <c r="C82" s="493"/>
      <c r="D82" s="507"/>
      <c r="E82" s="493"/>
      <c r="F82" s="493"/>
      <c r="G82" s="493"/>
      <c r="H82" s="493"/>
      <c r="I82" s="493"/>
      <c r="J82" s="507"/>
      <c r="K82" s="511"/>
      <c r="L82" s="511"/>
      <c r="M82" s="512"/>
    </row>
    <row r="83" spans="1:13">
      <c r="B83" s="493"/>
      <c r="C83" s="493"/>
      <c r="D83" s="507"/>
      <c r="E83" s="493"/>
      <c r="F83" s="493"/>
      <c r="G83" s="493"/>
      <c r="H83" s="493"/>
      <c r="I83" s="493"/>
      <c r="J83" s="507"/>
      <c r="K83" s="511"/>
      <c r="L83" s="511"/>
      <c r="M83" s="512"/>
    </row>
    <row r="84" spans="1:13">
      <c r="B84" s="493"/>
      <c r="C84" s="493"/>
      <c r="D84" s="507"/>
      <c r="E84" s="493"/>
      <c r="F84" s="493"/>
      <c r="G84" s="493"/>
      <c r="H84" s="493"/>
      <c r="I84" s="493"/>
      <c r="J84" s="507"/>
      <c r="K84" s="511"/>
      <c r="L84" s="511"/>
      <c r="M84" s="512"/>
    </row>
    <row r="85" spans="1:13">
      <c r="B85" s="493"/>
      <c r="C85" s="493"/>
      <c r="D85" s="507"/>
      <c r="E85" s="493"/>
      <c r="F85" s="493"/>
      <c r="G85" s="493"/>
      <c r="H85" s="493"/>
      <c r="I85" s="493"/>
      <c r="J85" s="507"/>
      <c r="K85" s="511"/>
      <c r="L85" s="511"/>
      <c r="M85" s="512"/>
    </row>
    <row r="86" spans="1:13">
      <c r="B86" s="493"/>
      <c r="C86" s="493"/>
      <c r="D86" s="507"/>
      <c r="E86" s="493"/>
      <c r="F86" s="493"/>
      <c r="G86" s="493"/>
      <c r="H86" s="493"/>
      <c r="I86" s="493"/>
      <c r="J86" s="507"/>
      <c r="K86" s="511"/>
      <c r="L86" s="511"/>
      <c r="M86" s="512"/>
    </row>
    <row r="87" spans="1:13">
      <c r="B87" s="493"/>
      <c r="C87" s="493"/>
      <c r="D87" s="507"/>
      <c r="E87" s="493"/>
      <c r="F87" s="493"/>
      <c r="G87" s="493"/>
      <c r="H87" s="493"/>
      <c r="I87" s="493"/>
      <c r="J87" s="507"/>
      <c r="K87" s="511"/>
      <c r="L87" s="511"/>
      <c r="M87" s="512"/>
    </row>
    <row r="88" spans="1:13">
      <c r="B88" s="493"/>
      <c r="C88" s="493"/>
      <c r="D88" s="507"/>
      <c r="E88" s="493"/>
      <c r="F88" s="493"/>
      <c r="G88" s="493"/>
      <c r="H88" s="493"/>
      <c r="I88" s="493"/>
      <c r="J88" s="507"/>
      <c r="K88" s="511"/>
      <c r="L88" s="511"/>
      <c r="M88" s="512"/>
    </row>
    <row r="89" spans="1:13">
      <c r="B89" s="493"/>
      <c r="C89" s="493"/>
      <c r="D89" s="507"/>
      <c r="E89" s="493"/>
      <c r="F89" s="493"/>
      <c r="G89" s="493"/>
      <c r="H89" s="493"/>
      <c r="I89" s="493"/>
      <c r="J89" s="507"/>
      <c r="K89" s="511"/>
      <c r="L89" s="511"/>
      <c r="M89" s="512"/>
    </row>
    <row r="90" spans="1:13">
      <c r="B90" s="493"/>
      <c r="C90" s="493"/>
      <c r="D90" s="507"/>
      <c r="E90" s="493"/>
      <c r="F90" s="493"/>
      <c r="G90" s="493"/>
      <c r="H90" s="493"/>
      <c r="I90" s="493"/>
      <c r="J90" s="507"/>
      <c r="K90" s="511"/>
      <c r="L90" s="511"/>
      <c r="M90" s="512"/>
    </row>
    <row r="91" spans="1:13">
      <c r="B91" s="493"/>
      <c r="C91" s="493"/>
      <c r="D91" s="507"/>
      <c r="E91" s="493"/>
      <c r="F91" s="493"/>
      <c r="G91" s="493"/>
      <c r="H91" s="493"/>
      <c r="I91" s="493"/>
      <c r="J91" s="507"/>
      <c r="K91" s="511"/>
      <c r="L91" s="511"/>
      <c r="M91" s="512"/>
    </row>
    <row r="92" spans="1:13">
      <c r="B92" s="493"/>
      <c r="C92" s="493"/>
      <c r="D92" s="507"/>
      <c r="E92" s="493"/>
      <c r="F92" s="493"/>
      <c r="G92" s="493"/>
      <c r="H92" s="493"/>
      <c r="I92" s="493"/>
      <c r="J92" s="507"/>
      <c r="K92" s="511"/>
      <c r="L92" s="511"/>
      <c r="M92" s="512"/>
    </row>
    <row r="93" spans="1:13">
      <c r="B93" s="493"/>
      <c r="C93" s="493"/>
      <c r="D93" s="507"/>
      <c r="E93" s="493"/>
      <c r="F93" s="493"/>
      <c r="G93" s="493"/>
      <c r="H93" s="493"/>
      <c r="I93" s="493"/>
      <c r="J93" s="507"/>
      <c r="K93" s="511"/>
      <c r="L93" s="511"/>
      <c r="M93" s="512"/>
    </row>
    <row r="94" spans="1:13">
      <c r="B94" s="493"/>
      <c r="C94" s="493"/>
      <c r="D94" s="507"/>
      <c r="E94" s="493"/>
      <c r="F94" s="493"/>
      <c r="G94" s="493"/>
      <c r="H94" s="493"/>
      <c r="I94" s="493"/>
      <c r="J94" s="507"/>
      <c r="K94" s="511"/>
      <c r="L94" s="511"/>
      <c r="M94" s="512"/>
    </row>
    <row r="95" spans="1:13">
      <c r="B95" s="493"/>
      <c r="C95" s="493"/>
      <c r="D95" s="507"/>
      <c r="E95" s="493"/>
      <c r="F95" s="493"/>
      <c r="G95" s="493"/>
      <c r="H95" s="493"/>
      <c r="I95" s="493"/>
      <c r="J95" s="507"/>
      <c r="K95" s="511"/>
      <c r="L95" s="511"/>
      <c r="M95" s="512"/>
    </row>
    <row r="96" spans="1:13" s="493" customFormat="1">
      <c r="A96" s="507"/>
      <c r="D96" s="507"/>
      <c r="J96" s="507"/>
      <c r="K96" s="511"/>
      <c r="L96" s="511"/>
      <c r="M96" s="512"/>
    </row>
    <row r="97" spans="1:13">
      <c r="B97" s="493"/>
      <c r="C97" s="493"/>
      <c r="D97" s="507"/>
      <c r="E97" s="493"/>
      <c r="F97" s="493"/>
      <c r="G97" s="493"/>
      <c r="H97" s="493"/>
      <c r="I97" s="493"/>
      <c r="J97" s="507"/>
      <c r="K97" s="511"/>
      <c r="L97" s="511"/>
      <c r="M97" s="512"/>
    </row>
    <row r="98" spans="1:13">
      <c r="B98" s="493"/>
      <c r="C98" s="514"/>
      <c r="D98" s="515"/>
      <c r="E98" s="516"/>
      <c r="F98" s="516"/>
      <c r="G98" s="516"/>
      <c r="H98" s="516"/>
      <c r="I98" s="516"/>
      <c r="J98" s="515"/>
      <c r="K98" s="517"/>
      <c r="L98" s="517"/>
      <c r="M98" s="518" t="s">
        <v>513</v>
      </c>
    </row>
    <row r="99" spans="1:13">
      <c r="B99" s="493"/>
      <c r="C99" s="493"/>
      <c r="D99" s="507"/>
      <c r="E99" s="493"/>
      <c r="F99" s="493"/>
      <c r="G99" s="493"/>
      <c r="H99" s="493"/>
      <c r="I99" s="493"/>
      <c r="J99" s="507"/>
      <c r="K99" s="511"/>
      <c r="L99" s="511"/>
      <c r="M99" s="512"/>
    </row>
    <row r="100" spans="1:13" s="483" customFormat="1" ht="16.5" thickBot="1">
      <c r="A100" s="477"/>
      <c r="B100" s="520"/>
      <c r="C100" s="520"/>
      <c r="D100" s="521"/>
      <c r="E100" s="520"/>
      <c r="F100" s="520"/>
      <c r="G100" s="520"/>
      <c r="H100" s="520"/>
      <c r="I100" s="520"/>
      <c r="J100" s="522"/>
      <c r="K100" s="522"/>
      <c r="L100" s="522"/>
      <c r="M100" s="523"/>
    </row>
    <row r="101" spans="1:13" s="493" customFormat="1" ht="13.5" thickTop="1">
      <c r="A101" s="524"/>
      <c r="B101" s="486"/>
      <c r="C101" s="486"/>
      <c r="D101" s="525"/>
      <c r="E101" s="486"/>
      <c r="F101" s="486"/>
      <c r="G101" s="486"/>
      <c r="H101" s="486"/>
      <c r="I101" s="486"/>
      <c r="J101" s="526"/>
      <c r="K101" s="526"/>
      <c r="L101" s="526"/>
      <c r="M101" s="527"/>
    </row>
    <row r="102" spans="1:13" s="493" customFormat="1" ht="15.75">
      <c r="A102" s="482" t="s">
        <v>514</v>
      </c>
      <c r="B102" s="483"/>
      <c r="C102" s="487" t="s">
        <v>176</v>
      </c>
      <c r="D102" s="482"/>
      <c r="E102" s="483"/>
      <c r="F102" s="483"/>
      <c r="G102" s="483"/>
      <c r="H102" s="483"/>
      <c r="I102" s="483"/>
      <c r="J102" s="482"/>
      <c r="K102" s="484"/>
      <c r="L102" s="484"/>
      <c r="M102" s="485"/>
    </row>
    <row r="103" spans="1:13" s="493" customFormat="1">
      <c r="A103" s="507"/>
      <c r="B103" s="481"/>
      <c r="C103" s="481"/>
      <c r="D103" s="508"/>
      <c r="E103" s="481"/>
      <c r="F103" s="481"/>
      <c r="G103" s="481"/>
      <c r="H103" s="481"/>
      <c r="I103" s="481"/>
      <c r="J103" s="508"/>
      <c r="K103" s="509"/>
      <c r="L103" s="509"/>
      <c r="M103" s="510"/>
    </row>
    <row r="104" spans="1:13" s="493" customFormat="1">
      <c r="A104" s="507" t="s">
        <v>515</v>
      </c>
      <c r="C104" s="493" t="s">
        <v>259</v>
      </c>
      <c r="D104" s="507"/>
      <c r="J104" s="507"/>
      <c r="K104" s="511"/>
      <c r="L104" s="511"/>
      <c r="M104" s="512"/>
    </row>
    <row r="105" spans="1:13" s="486" customFormat="1">
      <c r="A105" s="507"/>
      <c r="B105" s="481"/>
      <c r="C105" s="481"/>
      <c r="D105" s="508"/>
      <c r="E105" s="481"/>
      <c r="F105" s="481"/>
      <c r="G105" s="481"/>
      <c r="H105" s="481"/>
      <c r="I105" s="481"/>
      <c r="J105" s="508"/>
      <c r="K105" s="509"/>
      <c r="L105" s="509"/>
      <c r="M105" s="510"/>
    </row>
    <row r="106" spans="1:13" s="486" customFormat="1">
      <c r="A106" s="507" t="s">
        <v>516</v>
      </c>
      <c r="B106" s="481"/>
      <c r="C106" s="481" t="s">
        <v>517</v>
      </c>
      <c r="D106" s="508"/>
      <c r="E106" s="481"/>
      <c r="F106" s="481"/>
      <c r="G106" s="481"/>
      <c r="H106" s="481"/>
      <c r="I106" s="481"/>
      <c r="J106" s="508"/>
      <c r="K106" s="509"/>
      <c r="L106" s="509"/>
      <c r="M106" s="510"/>
    </row>
    <row r="107" spans="1:13" s="483" customFormat="1" ht="15.75">
      <c r="A107" s="507"/>
      <c r="B107" s="481"/>
      <c r="C107" s="481" t="s">
        <v>518</v>
      </c>
      <c r="D107" s="508"/>
      <c r="E107" s="481"/>
      <c r="F107" s="481"/>
      <c r="G107" s="481"/>
      <c r="H107" s="481"/>
      <c r="I107" s="481"/>
      <c r="J107" s="508"/>
      <c r="K107" s="509"/>
      <c r="L107" s="509"/>
      <c r="M107" s="510"/>
    </row>
    <row r="108" spans="1:13" s="493" customFormat="1">
      <c r="A108" s="507"/>
      <c r="B108" s="481"/>
      <c r="C108" s="481"/>
      <c r="D108" s="508"/>
      <c r="E108" s="481"/>
      <c r="F108" s="481"/>
      <c r="G108" s="481"/>
      <c r="H108" s="481"/>
      <c r="I108" s="481"/>
      <c r="J108" s="508"/>
      <c r="K108" s="509"/>
      <c r="L108" s="509"/>
      <c r="M108" s="510"/>
    </row>
    <row r="109" spans="1:13" s="493" customFormat="1">
      <c r="B109" s="481"/>
      <c r="C109" s="481" t="s">
        <v>519</v>
      </c>
      <c r="D109" s="508">
        <v>90</v>
      </c>
      <c r="E109" s="481"/>
      <c r="F109" s="481"/>
      <c r="G109" s="481"/>
      <c r="H109" s="481"/>
      <c r="I109" s="481"/>
      <c r="J109" s="508"/>
      <c r="K109" s="775"/>
      <c r="L109" s="509"/>
      <c r="M109" s="510">
        <f>D109*K109</f>
        <v>0</v>
      </c>
    </row>
    <row r="110" spans="1:13" s="493" customFormat="1">
      <c r="A110" s="507"/>
      <c r="B110" s="481"/>
      <c r="C110" s="481"/>
      <c r="D110" s="532"/>
      <c r="E110" s="481"/>
      <c r="F110" s="481"/>
      <c r="G110" s="481"/>
      <c r="H110" s="481"/>
      <c r="I110" s="481"/>
      <c r="J110" s="508"/>
      <c r="K110" s="509"/>
      <c r="L110" s="509"/>
      <c r="M110" s="510"/>
    </row>
    <row r="111" spans="1:13">
      <c r="A111" s="507" t="s">
        <v>520</v>
      </c>
      <c r="C111" s="481" t="s">
        <v>521</v>
      </c>
      <c r="D111" s="532"/>
    </row>
    <row r="112" spans="1:13">
      <c r="C112" s="481" t="s">
        <v>518</v>
      </c>
      <c r="D112" s="532"/>
    </row>
    <row r="113" spans="1:16">
      <c r="A113" s="493"/>
      <c r="C113" s="481" t="s">
        <v>519</v>
      </c>
      <c r="D113" s="532">
        <v>5</v>
      </c>
      <c r="K113" s="775"/>
      <c r="M113" s="510">
        <f>D113*K113</f>
        <v>0</v>
      </c>
    </row>
    <row r="114" spans="1:16">
      <c r="D114" s="532"/>
    </row>
    <row r="115" spans="1:16">
      <c r="A115" s="507" t="s">
        <v>522</v>
      </c>
      <c r="C115" s="481" t="s">
        <v>523</v>
      </c>
      <c r="D115" s="532"/>
    </row>
    <row r="116" spans="1:16">
      <c r="C116" s="481" t="s">
        <v>518</v>
      </c>
      <c r="D116" s="532"/>
    </row>
    <row r="117" spans="1:16">
      <c r="A117" s="493"/>
      <c r="C117" s="481" t="s">
        <v>519</v>
      </c>
      <c r="D117" s="532">
        <v>39</v>
      </c>
      <c r="K117" s="775"/>
      <c r="M117" s="510">
        <f>D117*K117</f>
        <v>0</v>
      </c>
    </row>
    <row r="119" spans="1:16" ht="13.5" thickTop="1">
      <c r="C119" s="528"/>
      <c r="D119" s="529"/>
      <c r="E119" s="528"/>
      <c r="F119" s="528"/>
      <c r="G119" s="528"/>
      <c r="H119" s="528"/>
      <c r="I119" s="528"/>
      <c r="J119" s="529"/>
      <c r="K119" s="530"/>
      <c r="L119" s="530"/>
      <c r="M119" s="531"/>
    </row>
    <row r="120" spans="1:16">
      <c r="B120" s="493"/>
      <c r="C120" s="493" t="s">
        <v>524</v>
      </c>
      <c r="D120" s="507"/>
      <c r="E120" s="493"/>
      <c r="F120" s="493"/>
      <c r="G120" s="493"/>
      <c r="H120" s="493"/>
      <c r="I120" s="493"/>
      <c r="J120" s="507"/>
      <c r="K120" s="511"/>
      <c r="L120" s="511"/>
      <c r="M120" s="512">
        <f>SUM(M109:M117)</f>
        <v>0</v>
      </c>
    </row>
    <row r="121" spans="1:16">
      <c r="B121" s="493"/>
      <c r="C121" s="493"/>
      <c r="D121" s="507"/>
      <c r="E121" s="493"/>
      <c r="F121" s="493"/>
      <c r="G121" s="493"/>
      <c r="H121" s="493"/>
      <c r="I121" s="493"/>
      <c r="J121" s="507"/>
      <c r="K121" s="511"/>
      <c r="L121" s="511"/>
      <c r="M121" s="512"/>
    </row>
    <row r="122" spans="1:16" s="493" customFormat="1">
      <c r="A122" s="507" t="s">
        <v>525</v>
      </c>
      <c r="C122" s="493" t="s">
        <v>526</v>
      </c>
      <c r="D122" s="507"/>
      <c r="J122" s="507"/>
      <c r="K122" s="511"/>
      <c r="L122" s="511"/>
      <c r="M122" s="512"/>
    </row>
    <row r="123" spans="1:16" s="493" customFormat="1">
      <c r="A123" s="507"/>
      <c r="B123" s="481"/>
      <c r="C123" s="481"/>
      <c r="D123" s="508"/>
      <c r="E123" s="481"/>
      <c r="F123" s="481"/>
      <c r="G123" s="481"/>
      <c r="H123" s="481"/>
      <c r="I123" s="481"/>
      <c r="J123" s="508"/>
      <c r="K123" s="509"/>
      <c r="L123" s="509"/>
      <c r="M123" s="510"/>
    </row>
    <row r="124" spans="1:16" s="493" customFormat="1">
      <c r="A124" s="507" t="s">
        <v>527</v>
      </c>
      <c r="B124" s="481"/>
      <c r="C124" s="481" t="s">
        <v>528</v>
      </c>
      <c r="D124" s="508"/>
      <c r="E124" s="481"/>
      <c r="F124" s="481"/>
      <c r="G124" s="481"/>
      <c r="H124" s="481"/>
      <c r="I124" s="481"/>
      <c r="J124" s="508"/>
      <c r="K124" s="509"/>
      <c r="L124" s="509"/>
      <c r="M124" s="510"/>
    </row>
    <row r="125" spans="1:16">
      <c r="C125" s="481" t="s">
        <v>529</v>
      </c>
      <c r="N125" s="493"/>
      <c r="O125" s="493"/>
      <c r="P125" s="493"/>
    </row>
    <row r="126" spans="1:16">
      <c r="N126" s="493"/>
      <c r="O126" s="493"/>
      <c r="P126" s="493"/>
    </row>
    <row r="127" spans="1:16">
      <c r="C127" s="481" t="s">
        <v>530</v>
      </c>
      <c r="D127" s="508">
        <v>80</v>
      </c>
      <c r="K127" s="775"/>
      <c r="M127" s="510">
        <f>D127*K127</f>
        <v>0</v>
      </c>
    </row>
    <row r="128" spans="1:16" ht="13.5" thickBot="1"/>
    <row r="129" spans="1:13" s="533" customFormat="1" ht="13.5" thickTop="1">
      <c r="A129" s="507"/>
      <c r="B129" s="481"/>
      <c r="C129" s="528"/>
      <c r="D129" s="529"/>
      <c r="E129" s="528"/>
      <c r="F129" s="528"/>
      <c r="G129" s="528"/>
      <c r="H129" s="528"/>
      <c r="I129" s="528"/>
      <c r="J129" s="529"/>
      <c r="K129" s="530"/>
      <c r="L129" s="530"/>
      <c r="M129" s="531"/>
    </row>
    <row r="130" spans="1:13" s="533" customFormat="1">
      <c r="A130" s="507" t="s">
        <v>515</v>
      </c>
      <c r="B130" s="493"/>
      <c r="C130" s="493" t="s">
        <v>526</v>
      </c>
      <c r="D130" s="507"/>
      <c r="E130" s="493"/>
      <c r="F130" s="493"/>
      <c r="G130" s="493"/>
      <c r="H130" s="493"/>
      <c r="I130" s="493"/>
      <c r="J130" s="507"/>
      <c r="K130" s="511"/>
      <c r="L130" s="511"/>
      <c r="M130" s="512">
        <f>SUM(M127:M127)</f>
        <v>0</v>
      </c>
    </row>
    <row r="131" spans="1:13" s="533" customFormat="1">
      <c r="A131" s="507"/>
      <c r="B131" s="493"/>
      <c r="C131" s="493"/>
      <c r="D131" s="507"/>
      <c r="E131" s="493"/>
      <c r="F131" s="493"/>
      <c r="G131" s="493"/>
      <c r="H131" s="493"/>
      <c r="I131" s="493"/>
      <c r="J131" s="507"/>
      <c r="K131" s="511"/>
      <c r="L131" s="511"/>
      <c r="M131" s="512"/>
    </row>
    <row r="132" spans="1:13" ht="13.5" thickBot="1"/>
    <row r="133" spans="1:13" ht="14.25" thickTop="1" thickBot="1">
      <c r="C133" s="528"/>
      <c r="D133" s="529"/>
      <c r="E133" s="528"/>
      <c r="F133" s="528"/>
      <c r="G133" s="528"/>
      <c r="H133" s="528"/>
      <c r="I133" s="528"/>
      <c r="J133" s="529"/>
      <c r="K133" s="530"/>
      <c r="L133" s="530"/>
      <c r="M133" s="531"/>
    </row>
    <row r="134" spans="1:13" ht="16.5" thickBot="1">
      <c r="A134" s="482" t="s">
        <v>531</v>
      </c>
      <c r="B134" s="483"/>
      <c r="C134" s="488" t="s">
        <v>532</v>
      </c>
      <c r="D134" s="489"/>
      <c r="E134" s="490"/>
      <c r="F134" s="490"/>
      <c r="G134" s="490"/>
      <c r="H134" s="490"/>
      <c r="I134" s="490"/>
      <c r="J134" s="489"/>
      <c r="K134" s="491"/>
      <c r="L134" s="491"/>
      <c r="M134" s="492">
        <f>M120+M127</f>
        <v>0</v>
      </c>
    </row>
    <row r="135" spans="1:13">
      <c r="B135" s="493"/>
      <c r="C135" s="493"/>
      <c r="D135" s="507"/>
      <c r="E135" s="493"/>
      <c r="F135" s="493"/>
      <c r="G135" s="493"/>
      <c r="H135" s="493"/>
      <c r="I135" s="493"/>
      <c r="J135" s="507"/>
      <c r="K135" s="511"/>
      <c r="L135" s="511"/>
      <c r="M135" s="512"/>
    </row>
    <row r="136" spans="1:13">
      <c r="B136" s="493"/>
      <c r="C136" s="514"/>
      <c r="D136" s="515"/>
      <c r="E136" s="516"/>
      <c r="F136" s="516"/>
      <c r="G136" s="516"/>
      <c r="H136" s="516"/>
      <c r="I136" s="516"/>
      <c r="J136" s="515"/>
      <c r="K136" s="517"/>
      <c r="L136" s="517"/>
      <c r="M136" s="518" t="s">
        <v>533</v>
      </c>
    </row>
    <row r="137" spans="1:13" s="493" customFormat="1">
      <c r="A137" s="507"/>
      <c r="D137" s="507"/>
      <c r="J137" s="507"/>
      <c r="K137" s="511"/>
      <c r="L137" s="511"/>
      <c r="M137" s="512"/>
    </row>
    <row r="138" spans="1:13" s="483" customFormat="1" ht="16.5" thickBot="1">
      <c r="A138" s="477"/>
      <c r="B138" s="520"/>
      <c r="C138" s="520"/>
      <c r="D138" s="521"/>
      <c r="E138" s="520"/>
      <c r="F138" s="520"/>
      <c r="G138" s="520"/>
      <c r="H138" s="520"/>
      <c r="I138" s="520"/>
      <c r="J138" s="522"/>
      <c r="K138" s="522"/>
      <c r="L138" s="522"/>
      <c r="M138" s="523"/>
    </row>
    <row r="139" spans="1:13" s="483" customFormat="1" ht="16.5" thickTop="1">
      <c r="A139" s="524"/>
      <c r="B139" s="486"/>
      <c r="C139" s="486"/>
      <c r="D139" s="525"/>
      <c r="E139" s="486"/>
      <c r="F139" s="486"/>
      <c r="G139" s="486"/>
      <c r="H139" s="486"/>
      <c r="I139" s="486"/>
      <c r="J139" s="526"/>
      <c r="K139" s="526"/>
      <c r="L139" s="526"/>
      <c r="M139" s="527"/>
    </row>
    <row r="140" spans="1:13" s="493" customFormat="1">
      <c r="A140" s="524"/>
      <c r="B140" s="486"/>
      <c r="C140" s="486"/>
      <c r="D140" s="525"/>
      <c r="E140" s="486"/>
      <c r="F140" s="486"/>
      <c r="G140" s="486"/>
      <c r="H140" s="486"/>
      <c r="I140" s="486"/>
      <c r="J140" s="526"/>
      <c r="K140" s="526"/>
      <c r="L140" s="526"/>
      <c r="M140" s="527"/>
    </row>
    <row r="141" spans="1:13" s="493" customFormat="1" ht="15.75">
      <c r="A141" s="482" t="s">
        <v>534</v>
      </c>
      <c r="B141" s="483"/>
      <c r="C141" s="487" t="s">
        <v>535</v>
      </c>
      <c r="D141" s="482"/>
      <c r="E141" s="483"/>
      <c r="F141" s="483"/>
      <c r="G141" s="483"/>
      <c r="H141" s="483"/>
      <c r="I141" s="483"/>
      <c r="J141" s="482"/>
      <c r="K141" s="484"/>
      <c r="L141" s="484"/>
      <c r="M141" s="485"/>
    </row>
    <row r="142" spans="1:13" s="493" customFormat="1">
      <c r="A142" s="507"/>
      <c r="D142" s="507"/>
      <c r="J142" s="507"/>
      <c r="K142" s="511"/>
      <c r="L142" s="511"/>
      <c r="M142" s="512"/>
    </row>
    <row r="143" spans="1:13" s="493" customFormat="1">
      <c r="A143" s="507" t="s">
        <v>536</v>
      </c>
      <c r="C143" s="493" t="s">
        <v>535</v>
      </c>
      <c r="D143" s="507"/>
      <c r="J143" s="507"/>
      <c r="K143" s="511"/>
      <c r="L143" s="511"/>
      <c r="M143" s="512"/>
    </row>
    <row r="144" spans="1:13" s="486" customFormat="1">
      <c r="A144" s="507"/>
      <c r="B144" s="493"/>
      <c r="C144" s="493"/>
      <c r="D144" s="507"/>
      <c r="E144" s="493"/>
      <c r="F144" s="493"/>
      <c r="G144" s="493"/>
      <c r="H144" s="493"/>
      <c r="I144" s="493"/>
      <c r="J144" s="507"/>
      <c r="K144" s="511"/>
      <c r="L144" s="511"/>
      <c r="M144" s="512"/>
    </row>
    <row r="145" spans="1:13" s="486" customFormat="1">
      <c r="A145" s="507" t="s">
        <v>537</v>
      </c>
      <c r="B145" s="481"/>
      <c r="C145" s="481" t="s">
        <v>538</v>
      </c>
      <c r="D145" s="508"/>
      <c r="E145" s="481"/>
      <c r="F145" s="481"/>
      <c r="G145" s="481"/>
      <c r="H145" s="481"/>
      <c r="I145" s="481"/>
      <c r="J145" s="508"/>
      <c r="K145" s="509"/>
      <c r="L145" s="509"/>
      <c r="M145" s="510"/>
    </row>
    <row r="146" spans="1:13" s="483" customFormat="1" ht="15.75">
      <c r="A146" s="507"/>
      <c r="B146" s="481"/>
      <c r="C146" s="481" t="s">
        <v>539</v>
      </c>
      <c r="D146" s="508"/>
      <c r="E146" s="481"/>
      <c r="F146" s="481"/>
      <c r="G146" s="481"/>
      <c r="H146" s="481"/>
      <c r="I146" s="481"/>
      <c r="J146" s="508"/>
      <c r="K146" s="509"/>
      <c r="L146" s="509"/>
      <c r="M146" s="510"/>
    </row>
    <row r="148" spans="1:13" s="493" customFormat="1">
      <c r="A148" s="507"/>
      <c r="B148" s="481"/>
      <c r="C148" s="481" t="s">
        <v>60</v>
      </c>
      <c r="D148" s="508">
        <v>195</v>
      </c>
      <c r="E148" s="481"/>
      <c r="F148" s="481"/>
      <c r="G148" s="481"/>
      <c r="H148" s="481"/>
      <c r="I148" s="481"/>
      <c r="J148" s="508"/>
      <c r="K148" s="775"/>
      <c r="L148" s="509"/>
      <c r="M148" s="510">
        <f>D148*K148</f>
        <v>0</v>
      </c>
    </row>
    <row r="149" spans="1:13" s="534" customFormat="1" ht="18">
      <c r="A149" s="507"/>
      <c r="B149" s="481"/>
      <c r="C149" s="481"/>
      <c r="D149" s="508"/>
      <c r="E149" s="481"/>
      <c r="F149" s="481"/>
      <c r="G149" s="481"/>
      <c r="H149" s="481"/>
      <c r="I149" s="481"/>
      <c r="J149" s="508"/>
      <c r="K149" s="509"/>
      <c r="L149" s="509"/>
      <c r="M149" s="510"/>
    </row>
    <row r="150" spans="1:13">
      <c r="A150" s="507" t="s">
        <v>540</v>
      </c>
      <c r="C150" s="481" t="s">
        <v>541</v>
      </c>
    </row>
    <row r="151" spans="1:13">
      <c r="C151" s="481" t="s">
        <v>542</v>
      </c>
    </row>
    <row r="153" spans="1:13">
      <c r="C153" s="481" t="s">
        <v>60</v>
      </c>
      <c r="D153" s="508">
        <v>1400</v>
      </c>
      <c r="K153" s="775"/>
      <c r="M153" s="510">
        <f>D153*K153</f>
        <v>0</v>
      </c>
    </row>
    <row r="155" spans="1:13">
      <c r="A155" s="507" t="s">
        <v>543</v>
      </c>
      <c r="C155" s="481" t="s">
        <v>544</v>
      </c>
    </row>
    <row r="156" spans="1:13">
      <c r="C156" s="481" t="s">
        <v>545</v>
      </c>
    </row>
    <row r="157" spans="1:13">
      <c r="D157" s="508">
        <v>1400</v>
      </c>
      <c r="K157" s="775"/>
      <c r="M157" s="510">
        <f>D157*K157</f>
        <v>0</v>
      </c>
    </row>
    <row r="159" spans="1:13" ht="13.5" thickTop="1">
      <c r="C159" s="528"/>
      <c r="D159" s="529"/>
      <c r="E159" s="528"/>
      <c r="F159" s="528"/>
      <c r="G159" s="528"/>
      <c r="H159" s="528"/>
      <c r="I159" s="528"/>
      <c r="J159" s="529"/>
      <c r="K159" s="530"/>
      <c r="L159" s="530"/>
      <c r="M159" s="531"/>
    </row>
    <row r="160" spans="1:13">
      <c r="A160" s="507" t="s">
        <v>536</v>
      </c>
      <c r="B160" s="493"/>
      <c r="C160" s="493" t="s">
        <v>546</v>
      </c>
      <c r="D160" s="507"/>
      <c r="E160" s="493"/>
      <c r="F160" s="493"/>
      <c r="G160" s="493"/>
      <c r="H160" s="493"/>
      <c r="I160" s="493"/>
      <c r="J160" s="507"/>
      <c r="K160" s="511"/>
      <c r="L160" s="511"/>
      <c r="M160" s="512">
        <f>SUM(M145:M158)</f>
        <v>0</v>
      </c>
    </row>
    <row r="161" spans="1:13" s="493" customFormat="1">
      <c r="A161" s="507"/>
      <c r="D161" s="507"/>
      <c r="J161" s="507"/>
      <c r="K161" s="511"/>
      <c r="L161" s="511"/>
      <c r="M161" s="512"/>
    </row>
    <row r="162" spans="1:13" ht="13.5" thickBot="1"/>
    <row r="163" spans="1:13" ht="13.5" thickTop="1">
      <c r="C163" s="528"/>
      <c r="D163" s="529"/>
      <c r="E163" s="528"/>
      <c r="F163" s="528"/>
      <c r="G163" s="528"/>
      <c r="H163" s="528"/>
      <c r="I163" s="528"/>
      <c r="J163" s="529"/>
      <c r="K163" s="530"/>
      <c r="L163" s="530"/>
      <c r="M163" s="531"/>
    </row>
    <row r="164" spans="1:13" ht="13.5" thickBot="1">
      <c r="B164" s="493"/>
      <c r="C164" s="493"/>
      <c r="D164" s="507"/>
      <c r="E164" s="493"/>
      <c r="F164" s="493"/>
      <c r="G164" s="493"/>
      <c r="H164" s="493"/>
      <c r="I164" s="493"/>
      <c r="J164" s="507"/>
      <c r="K164" s="511"/>
      <c r="L164" s="511"/>
      <c r="M164" s="512"/>
    </row>
    <row r="165" spans="1:13" ht="16.5" thickBot="1">
      <c r="A165" s="507" t="s">
        <v>547</v>
      </c>
      <c r="B165" s="483"/>
      <c r="C165" s="488" t="s">
        <v>535</v>
      </c>
      <c r="D165" s="489"/>
      <c r="E165" s="490"/>
      <c r="F165" s="490"/>
      <c r="G165" s="490"/>
      <c r="H165" s="490"/>
      <c r="I165" s="490"/>
      <c r="J165" s="489"/>
      <c r="K165" s="491"/>
      <c r="L165" s="491"/>
      <c r="M165" s="492">
        <f>M160</f>
        <v>0</v>
      </c>
    </row>
    <row r="166" spans="1:13" ht="15.75">
      <c r="A166" s="482"/>
      <c r="B166" s="483"/>
      <c r="C166" s="483"/>
      <c r="D166" s="482"/>
      <c r="E166" s="483"/>
      <c r="F166" s="483"/>
      <c r="G166" s="483"/>
      <c r="H166" s="483"/>
      <c r="I166" s="483"/>
      <c r="J166" s="482"/>
      <c r="K166" s="484"/>
      <c r="L166" s="484"/>
      <c r="M166" s="485"/>
    </row>
    <row r="167" spans="1:13" ht="15.75">
      <c r="A167" s="482"/>
      <c r="B167" s="483"/>
      <c r="C167" s="483"/>
      <c r="D167" s="482"/>
      <c r="E167" s="483"/>
      <c r="F167" s="483"/>
      <c r="G167" s="483"/>
      <c r="H167" s="483"/>
      <c r="I167" s="483"/>
      <c r="J167" s="482"/>
      <c r="K167" s="484"/>
      <c r="L167" s="484"/>
      <c r="M167" s="485"/>
    </row>
    <row r="168" spans="1:13" ht="15.75">
      <c r="A168" s="482"/>
      <c r="B168" s="483"/>
      <c r="C168" s="483"/>
      <c r="D168" s="482"/>
      <c r="E168" s="483"/>
      <c r="F168" s="483"/>
      <c r="G168" s="483"/>
      <c r="H168" s="483"/>
      <c r="I168" s="483"/>
      <c r="J168" s="482"/>
      <c r="K168" s="484"/>
      <c r="L168" s="484"/>
      <c r="M168" s="485"/>
    </row>
    <row r="169" spans="1:13" ht="15.75">
      <c r="A169" s="482"/>
      <c r="B169" s="483"/>
      <c r="C169" s="483"/>
      <c r="D169" s="482"/>
      <c r="E169" s="483"/>
      <c r="F169" s="483"/>
      <c r="G169" s="483"/>
      <c r="H169" s="483"/>
      <c r="I169" s="483"/>
      <c r="J169" s="482"/>
      <c r="K169" s="484"/>
      <c r="L169" s="484"/>
      <c r="M169" s="485"/>
    </row>
    <row r="170" spans="1:13" ht="15.75">
      <c r="A170" s="482"/>
      <c r="B170" s="483"/>
      <c r="C170" s="483"/>
      <c r="D170" s="482"/>
      <c r="E170" s="483"/>
      <c r="F170" s="483"/>
      <c r="G170" s="483"/>
      <c r="H170" s="483"/>
      <c r="I170" s="483"/>
      <c r="J170" s="482"/>
      <c r="K170" s="484"/>
      <c r="L170" s="484"/>
      <c r="M170" s="485"/>
    </row>
    <row r="171" spans="1:13" ht="15.75">
      <c r="A171" s="482"/>
      <c r="B171" s="483"/>
      <c r="C171" s="483"/>
      <c r="D171" s="482"/>
      <c r="E171" s="483"/>
      <c r="F171" s="483"/>
      <c r="G171" s="483"/>
      <c r="H171" s="483"/>
      <c r="I171" s="483"/>
      <c r="J171" s="482"/>
      <c r="K171" s="484"/>
      <c r="L171" s="484"/>
      <c r="M171" s="485"/>
    </row>
    <row r="172" spans="1:13" ht="15.75">
      <c r="A172" s="482"/>
      <c r="B172" s="483"/>
      <c r="C172" s="483"/>
      <c r="D172" s="482"/>
      <c r="E172" s="483"/>
      <c r="F172" s="483"/>
      <c r="G172" s="483"/>
      <c r="H172" s="483"/>
      <c r="I172" s="483"/>
      <c r="J172" s="482"/>
      <c r="K172" s="484"/>
      <c r="L172" s="484"/>
      <c r="M172" s="485"/>
    </row>
    <row r="173" spans="1:13" ht="15.75">
      <c r="A173" s="482"/>
      <c r="B173" s="493"/>
      <c r="C173" s="493"/>
      <c r="D173" s="507"/>
      <c r="E173" s="493"/>
      <c r="F173" s="493"/>
      <c r="G173" s="493"/>
      <c r="H173" s="493"/>
      <c r="I173" s="493"/>
      <c r="J173" s="507"/>
      <c r="K173" s="511"/>
      <c r="L173" s="511"/>
      <c r="M173" s="512"/>
    </row>
    <row r="174" spans="1:13">
      <c r="B174" s="493"/>
      <c r="C174" s="514"/>
      <c r="D174" s="515"/>
      <c r="E174" s="516"/>
      <c r="F174" s="516"/>
      <c r="G174" s="516"/>
      <c r="H174" s="516"/>
      <c r="I174" s="516"/>
      <c r="J174" s="515"/>
      <c r="K174" s="517"/>
      <c r="L174" s="517"/>
      <c r="M174" s="518" t="s">
        <v>548</v>
      </c>
    </row>
    <row r="175" spans="1:13">
      <c r="B175" s="493"/>
      <c r="C175" s="493"/>
      <c r="D175" s="507"/>
      <c r="E175" s="493"/>
      <c r="F175" s="493"/>
      <c r="G175" s="493"/>
      <c r="H175" s="493"/>
      <c r="I175" s="493"/>
      <c r="J175" s="507"/>
      <c r="K175" s="511"/>
      <c r="L175" s="511"/>
      <c r="M175" s="512"/>
    </row>
    <row r="176" spans="1:13" ht="13.5" thickBot="1">
      <c r="B176" s="520"/>
      <c r="C176" s="520"/>
      <c r="D176" s="521"/>
      <c r="E176" s="520"/>
      <c r="F176" s="520"/>
      <c r="G176" s="520"/>
      <c r="H176" s="520"/>
      <c r="I176" s="520"/>
      <c r="J176" s="522"/>
      <c r="K176" s="522"/>
      <c r="L176" s="522"/>
      <c r="M176" s="523"/>
    </row>
    <row r="177" spans="1:13" ht="13.5" thickTop="1">
      <c r="B177" s="486"/>
      <c r="C177" s="486"/>
      <c r="D177" s="525"/>
      <c r="E177" s="486"/>
      <c r="F177" s="486"/>
      <c r="G177" s="486"/>
      <c r="H177" s="486"/>
      <c r="I177" s="486"/>
      <c r="J177" s="526"/>
      <c r="K177" s="526"/>
      <c r="L177" s="526"/>
      <c r="M177" s="527"/>
    </row>
    <row r="178" spans="1:13">
      <c r="B178" s="486"/>
      <c r="C178" s="486"/>
      <c r="D178" s="525"/>
      <c r="E178" s="486"/>
      <c r="F178" s="486"/>
      <c r="G178" s="486"/>
      <c r="H178" s="486"/>
      <c r="I178" s="486"/>
      <c r="J178" s="526"/>
      <c r="K178" s="526"/>
      <c r="L178" s="526"/>
      <c r="M178" s="527"/>
    </row>
    <row r="179" spans="1:13">
      <c r="B179" s="486"/>
      <c r="C179" s="486"/>
      <c r="D179" s="525"/>
      <c r="E179" s="486"/>
      <c r="F179" s="486"/>
      <c r="G179" s="486"/>
      <c r="H179" s="486"/>
      <c r="I179" s="486"/>
      <c r="J179" s="526"/>
      <c r="K179" s="526"/>
      <c r="L179" s="526"/>
      <c r="M179" s="527"/>
    </row>
    <row r="180" spans="1:13" ht="13.5" thickBot="1">
      <c r="A180" s="477"/>
      <c r="B180" s="486"/>
      <c r="C180" s="486"/>
      <c r="D180" s="525"/>
      <c r="E180" s="486"/>
      <c r="F180" s="486"/>
      <c r="G180" s="486"/>
      <c r="H180" s="486"/>
      <c r="I180" s="486"/>
      <c r="J180" s="526"/>
      <c r="K180" s="526"/>
      <c r="L180" s="526"/>
      <c r="M180" s="527"/>
    </row>
    <row r="181" spans="1:13" s="493" customFormat="1" ht="16.5" thickTop="1">
      <c r="A181" s="482" t="s">
        <v>549</v>
      </c>
      <c r="B181" s="483"/>
      <c r="C181" s="487" t="s">
        <v>286</v>
      </c>
      <c r="D181" s="482"/>
      <c r="E181" s="483"/>
      <c r="F181" s="483"/>
      <c r="G181" s="483"/>
      <c r="H181" s="483"/>
      <c r="I181" s="483"/>
      <c r="J181" s="482"/>
      <c r="K181" s="484"/>
      <c r="L181" s="484"/>
      <c r="M181" s="485"/>
    </row>
    <row r="182" spans="1:13" s="493" customFormat="1" ht="15.75">
      <c r="A182" s="482"/>
      <c r="B182" s="481"/>
      <c r="C182" s="481"/>
      <c r="D182" s="508"/>
      <c r="E182" s="481"/>
      <c r="F182" s="481"/>
      <c r="G182" s="481"/>
      <c r="H182" s="481"/>
      <c r="I182" s="481"/>
      <c r="J182" s="508"/>
      <c r="K182" s="509"/>
      <c r="L182" s="509"/>
      <c r="M182" s="510"/>
    </row>
    <row r="183" spans="1:13" s="493" customFormat="1" ht="15">
      <c r="A183" s="535" t="s">
        <v>550</v>
      </c>
      <c r="C183" s="493" t="s">
        <v>551</v>
      </c>
      <c r="D183" s="507"/>
      <c r="J183" s="507"/>
      <c r="K183" s="511"/>
      <c r="L183" s="511"/>
      <c r="M183" s="512"/>
    </row>
    <row r="184" spans="1:13" s="486" customFormat="1" ht="18">
      <c r="A184" s="507"/>
      <c r="B184" s="534"/>
      <c r="C184" s="534"/>
      <c r="D184" s="536"/>
      <c r="E184" s="534"/>
      <c r="F184" s="534"/>
      <c r="G184" s="534"/>
      <c r="H184" s="534"/>
      <c r="I184" s="534"/>
      <c r="J184" s="536"/>
      <c r="K184" s="537"/>
      <c r="L184" s="537"/>
      <c r="M184" s="538"/>
    </row>
    <row r="185" spans="1:13" s="486" customFormat="1" ht="15">
      <c r="A185" s="535" t="s">
        <v>552</v>
      </c>
      <c r="B185" s="481"/>
      <c r="C185" s="481" t="s">
        <v>553</v>
      </c>
      <c r="D185" s="508"/>
      <c r="E185" s="481"/>
      <c r="F185" s="481"/>
      <c r="G185" s="481"/>
      <c r="H185" s="481"/>
      <c r="I185" s="481"/>
      <c r="J185" s="508"/>
      <c r="K185" s="509"/>
      <c r="L185" s="509"/>
      <c r="M185" s="510"/>
    </row>
    <row r="186" spans="1:13" s="483" customFormat="1" ht="15.75">
      <c r="A186" s="507"/>
      <c r="B186" s="481"/>
      <c r="C186" s="481" t="s">
        <v>554</v>
      </c>
      <c r="D186" s="508"/>
      <c r="E186" s="481"/>
      <c r="F186" s="481"/>
      <c r="G186" s="481"/>
      <c r="H186" s="481"/>
      <c r="I186" s="481"/>
      <c r="J186" s="508"/>
      <c r="K186" s="509"/>
      <c r="L186" s="509"/>
      <c r="M186" s="510"/>
    </row>
    <row r="187" spans="1:13" s="493" customFormat="1">
      <c r="A187" s="508"/>
      <c r="B187" s="481"/>
      <c r="C187" s="481" t="s">
        <v>555</v>
      </c>
      <c r="D187" s="508"/>
      <c r="E187" s="481"/>
      <c r="F187" s="481"/>
      <c r="G187" s="481"/>
      <c r="H187" s="481"/>
      <c r="I187" s="481"/>
      <c r="J187" s="508"/>
      <c r="K187" s="509"/>
      <c r="L187" s="509"/>
      <c r="M187" s="510"/>
    </row>
    <row r="188" spans="1:13" s="493" customFormat="1">
      <c r="A188" s="508"/>
      <c r="B188" s="481"/>
      <c r="C188" s="481"/>
      <c r="D188" s="508"/>
      <c r="E188" s="481"/>
      <c r="F188" s="481"/>
      <c r="G188" s="481"/>
      <c r="H188" s="481"/>
      <c r="I188" s="481"/>
      <c r="J188" s="508"/>
      <c r="K188" s="509"/>
      <c r="L188" s="509"/>
      <c r="M188" s="510"/>
    </row>
    <row r="189" spans="1:13">
      <c r="A189" s="508"/>
      <c r="C189" s="481" t="s">
        <v>190</v>
      </c>
      <c r="D189" s="508">
        <v>39</v>
      </c>
      <c r="K189" s="775"/>
      <c r="M189" s="510">
        <f>D189*K189</f>
        <v>0</v>
      </c>
    </row>
    <row r="190" spans="1:13" s="493" customFormat="1" ht="13.5" thickBot="1">
      <c r="A190" s="508"/>
      <c r="B190" s="481"/>
      <c r="C190" s="481"/>
      <c r="D190" s="508"/>
      <c r="E190" s="481"/>
      <c r="F190" s="481"/>
      <c r="G190" s="481"/>
      <c r="H190" s="481"/>
      <c r="I190" s="481"/>
      <c r="J190" s="508"/>
      <c r="K190" s="509"/>
      <c r="L190" s="509"/>
      <c r="M190" s="510"/>
    </row>
    <row r="191" spans="1:13" ht="13.5" thickTop="1">
      <c r="C191" s="528"/>
      <c r="D191" s="529"/>
      <c r="E191" s="528"/>
      <c r="F191" s="528"/>
      <c r="G191" s="528"/>
      <c r="H191" s="528"/>
      <c r="I191" s="528"/>
      <c r="J191" s="529"/>
      <c r="K191" s="530"/>
      <c r="L191" s="530"/>
      <c r="M191" s="531"/>
    </row>
    <row r="192" spans="1:13" ht="15">
      <c r="A192" s="535" t="s">
        <v>550</v>
      </c>
      <c r="B192" s="493"/>
      <c r="C192" s="493" t="s">
        <v>551</v>
      </c>
      <c r="D192" s="507"/>
      <c r="E192" s="493"/>
      <c r="F192" s="493"/>
      <c r="G192" s="493"/>
      <c r="H192" s="493"/>
      <c r="I192" s="493"/>
      <c r="J192" s="507"/>
      <c r="K192" s="511"/>
      <c r="L192" s="511"/>
      <c r="M192" s="512">
        <f>SUM(M189:M191)</f>
        <v>0</v>
      </c>
    </row>
    <row r="195" spans="1:13" ht="13.5" thickTop="1">
      <c r="C195" s="528"/>
      <c r="D195" s="529"/>
      <c r="E195" s="528"/>
      <c r="F195" s="528"/>
      <c r="G195" s="528"/>
      <c r="H195" s="528"/>
      <c r="I195" s="528"/>
      <c r="J195" s="529"/>
      <c r="K195" s="530"/>
      <c r="L195" s="530"/>
      <c r="M195" s="531"/>
    </row>
    <row r="198" spans="1:13" ht="18.75" thickBot="1">
      <c r="B198" s="534"/>
      <c r="C198" s="534"/>
      <c r="D198" s="536"/>
      <c r="E198" s="534"/>
      <c r="F198" s="534"/>
      <c r="G198" s="534"/>
      <c r="H198" s="534"/>
      <c r="I198" s="534"/>
      <c r="J198" s="536"/>
      <c r="K198" s="537"/>
      <c r="L198" s="537"/>
      <c r="M198" s="538"/>
    </row>
    <row r="199" spans="1:13" ht="16.5" thickBot="1">
      <c r="A199" s="535"/>
      <c r="B199" s="483"/>
      <c r="C199" s="488" t="s">
        <v>286</v>
      </c>
      <c r="D199" s="489"/>
      <c r="E199" s="490"/>
      <c r="F199" s="490"/>
      <c r="G199" s="490"/>
      <c r="H199" s="490"/>
      <c r="I199" s="490"/>
      <c r="J199" s="489"/>
      <c r="K199" s="491"/>
      <c r="L199" s="491"/>
      <c r="M199" s="492">
        <f>SUM(M192)</f>
        <v>0</v>
      </c>
    </row>
    <row r="200" spans="1:13" ht="15.75">
      <c r="A200" s="482"/>
    </row>
    <row r="227" spans="1:13">
      <c r="B227" s="493"/>
      <c r="C227" s="493"/>
      <c r="D227" s="507"/>
      <c r="E227" s="493"/>
      <c r="F227" s="493"/>
      <c r="G227" s="493"/>
      <c r="H227" s="493"/>
      <c r="I227" s="493"/>
      <c r="J227" s="507"/>
      <c r="K227" s="511"/>
      <c r="L227" s="511"/>
      <c r="M227" s="512"/>
    </row>
    <row r="228" spans="1:13">
      <c r="B228" s="493"/>
      <c r="C228" s="514"/>
      <c r="D228" s="515"/>
      <c r="E228" s="516"/>
      <c r="F228" s="516"/>
      <c r="G228" s="516"/>
      <c r="H228" s="516"/>
      <c r="I228" s="516"/>
      <c r="J228" s="515"/>
      <c r="K228" s="517"/>
      <c r="L228" s="517"/>
      <c r="M228" s="518" t="s">
        <v>556</v>
      </c>
    </row>
    <row r="229" spans="1:13">
      <c r="B229" s="493"/>
      <c r="C229" s="493"/>
      <c r="D229" s="507"/>
      <c r="E229" s="493"/>
      <c r="F229" s="493"/>
      <c r="G229" s="493"/>
      <c r="H229" s="493"/>
      <c r="I229" s="493"/>
      <c r="J229" s="507"/>
      <c r="K229" s="511"/>
      <c r="L229" s="511"/>
      <c r="M229" s="512"/>
    </row>
    <row r="230" spans="1:13" ht="13.5" thickBot="1">
      <c r="B230" s="520"/>
      <c r="C230" s="520"/>
      <c r="D230" s="521"/>
      <c r="E230" s="520"/>
      <c r="F230" s="520"/>
      <c r="G230" s="520"/>
      <c r="H230" s="520"/>
      <c r="I230" s="520"/>
      <c r="J230" s="520"/>
      <c r="K230" s="522"/>
      <c r="L230" s="522"/>
      <c r="M230" s="523"/>
    </row>
    <row r="231" spans="1:13" ht="13.5" thickTop="1">
      <c r="B231" s="486"/>
      <c r="C231" s="486"/>
      <c r="D231" s="525"/>
      <c r="E231" s="486"/>
      <c r="F231" s="486"/>
      <c r="G231" s="486"/>
      <c r="H231" s="486"/>
      <c r="I231" s="486"/>
      <c r="J231" s="486"/>
      <c r="K231" s="526"/>
      <c r="L231" s="526"/>
      <c r="M231" s="527"/>
    </row>
    <row r="232" spans="1:13">
      <c r="B232" s="486"/>
      <c r="C232" s="486"/>
      <c r="D232" s="525"/>
      <c r="E232" s="486"/>
      <c r="F232" s="486"/>
      <c r="G232" s="486"/>
      <c r="H232" s="486"/>
      <c r="I232" s="486"/>
      <c r="J232" s="486"/>
      <c r="K232" s="526"/>
      <c r="L232" s="526"/>
      <c r="M232" s="527"/>
    </row>
    <row r="233" spans="1:13">
      <c r="B233" s="486"/>
      <c r="C233" s="486"/>
      <c r="D233" s="525"/>
      <c r="E233" s="486"/>
      <c r="F233" s="486"/>
      <c r="G233" s="486"/>
      <c r="H233" s="486"/>
      <c r="I233" s="486"/>
      <c r="J233" s="486"/>
      <c r="K233" s="526"/>
      <c r="L233" s="526"/>
      <c r="M233" s="527"/>
    </row>
    <row r="234" spans="1:13">
      <c r="B234" s="486"/>
      <c r="C234" s="486"/>
      <c r="D234" s="525"/>
      <c r="E234" s="486"/>
      <c r="F234" s="486"/>
      <c r="G234" s="486"/>
      <c r="H234" s="486"/>
      <c r="I234" s="486"/>
      <c r="J234" s="486"/>
      <c r="K234" s="526"/>
      <c r="L234" s="526"/>
      <c r="M234" s="527"/>
    </row>
    <row r="235" spans="1:13" ht="13.5" thickBot="1">
      <c r="A235" s="477"/>
      <c r="B235" s="486"/>
      <c r="C235" s="486"/>
      <c r="D235" s="525"/>
      <c r="E235" s="486"/>
      <c r="F235" s="486"/>
      <c r="G235" s="486"/>
      <c r="H235" s="486"/>
      <c r="I235" s="486"/>
      <c r="J235" s="486"/>
      <c r="K235" s="526"/>
      <c r="L235" s="526"/>
      <c r="M235" s="527"/>
    </row>
    <row r="236" spans="1:13" ht="15.75" thickTop="1">
      <c r="A236" s="535" t="s">
        <v>557</v>
      </c>
      <c r="B236" s="493"/>
      <c r="C236" s="493" t="s">
        <v>558</v>
      </c>
      <c r="D236" s="507"/>
      <c r="E236" s="493"/>
      <c r="F236" s="493"/>
      <c r="G236" s="493"/>
      <c r="H236" s="493"/>
      <c r="I236" s="493"/>
      <c r="J236" s="507"/>
      <c r="K236" s="511"/>
      <c r="L236" s="511"/>
      <c r="M236" s="512"/>
    </row>
    <row r="237" spans="1:13">
      <c r="B237" s="493"/>
      <c r="C237" s="493"/>
      <c r="D237" s="507"/>
      <c r="E237" s="493"/>
      <c r="F237" s="493"/>
      <c r="G237" s="493"/>
      <c r="H237" s="493"/>
      <c r="I237" s="493"/>
      <c r="J237" s="507"/>
      <c r="K237" s="511"/>
      <c r="L237" s="511"/>
      <c r="M237" s="512"/>
    </row>
    <row r="238" spans="1:13">
      <c r="A238" s="507" t="s">
        <v>559</v>
      </c>
      <c r="C238" s="481" t="s">
        <v>560</v>
      </c>
    </row>
    <row r="239" spans="1:13">
      <c r="C239" s="481" t="s">
        <v>561</v>
      </c>
    </row>
    <row r="240" spans="1:13">
      <c r="A240" s="508"/>
      <c r="C240" s="481" t="s">
        <v>562</v>
      </c>
    </row>
    <row r="241" spans="1:13" s="486" customFormat="1">
      <c r="A241" s="508"/>
      <c r="B241" s="481"/>
      <c r="C241" s="481"/>
      <c r="D241" s="508"/>
      <c r="E241" s="481"/>
      <c r="F241" s="481"/>
      <c r="G241" s="481"/>
      <c r="H241" s="481"/>
      <c r="I241" s="481"/>
      <c r="J241" s="508"/>
      <c r="K241" s="509"/>
      <c r="L241" s="509"/>
      <c r="M241" s="510"/>
    </row>
    <row r="242" spans="1:13" s="486" customFormat="1">
      <c r="A242" s="508"/>
      <c r="B242" s="481"/>
      <c r="C242" s="481" t="s">
        <v>60</v>
      </c>
      <c r="D242" s="508">
        <v>210</v>
      </c>
      <c r="E242" s="481"/>
      <c r="F242" s="481"/>
      <c r="G242" s="481"/>
      <c r="H242" s="481"/>
      <c r="I242" s="481"/>
      <c r="J242" s="508"/>
      <c r="K242" s="775"/>
      <c r="L242" s="509"/>
      <c r="M242" s="510">
        <f>D242*K242</f>
        <v>0</v>
      </c>
    </row>
    <row r="243" spans="1:13">
      <c r="A243" s="508"/>
    </row>
    <row r="244" spans="1:13">
      <c r="A244" s="539" t="s">
        <v>563</v>
      </c>
      <c r="C244" s="481" t="s">
        <v>564</v>
      </c>
    </row>
    <row r="245" spans="1:13">
      <c r="C245" s="481" t="s">
        <v>565</v>
      </c>
    </row>
    <row r="246" spans="1:13">
      <c r="A246" s="508"/>
    </row>
    <row r="247" spans="1:13">
      <c r="A247" s="508"/>
      <c r="C247" s="481" t="s">
        <v>60</v>
      </c>
      <c r="D247" s="508">
        <v>1450</v>
      </c>
      <c r="K247" s="775"/>
      <c r="M247" s="510">
        <f>D247*K247</f>
        <v>0</v>
      </c>
    </row>
    <row r="248" spans="1:13">
      <c r="A248" s="508"/>
    </row>
    <row r="249" spans="1:13">
      <c r="A249" s="508"/>
    </row>
    <row r="250" spans="1:13">
      <c r="A250" s="508" t="s">
        <v>566</v>
      </c>
      <c r="C250" s="481" t="s">
        <v>568</v>
      </c>
    </row>
    <row r="251" spans="1:13">
      <c r="C251" s="481" t="s">
        <v>569</v>
      </c>
    </row>
    <row r="253" spans="1:13">
      <c r="C253" s="481" t="s">
        <v>182</v>
      </c>
      <c r="D253" s="508">
        <v>1</v>
      </c>
      <c r="K253" s="775"/>
      <c r="M253" s="510">
        <f>D253*K253</f>
        <v>0</v>
      </c>
    </row>
    <row r="255" spans="1:13">
      <c r="A255" s="507" t="s">
        <v>567</v>
      </c>
      <c r="C255" s="481" t="s">
        <v>571</v>
      </c>
    </row>
    <row r="256" spans="1:13">
      <c r="C256" s="481" t="s">
        <v>572</v>
      </c>
    </row>
    <row r="257" spans="1:13" s="493" customFormat="1">
      <c r="A257" s="507"/>
      <c r="B257" s="481"/>
      <c r="C257" s="481"/>
      <c r="D257" s="508"/>
      <c r="E257" s="481"/>
      <c r="F257" s="481"/>
      <c r="G257" s="481"/>
      <c r="H257" s="481"/>
      <c r="I257" s="481"/>
      <c r="J257" s="508"/>
      <c r="K257" s="509"/>
      <c r="L257" s="509"/>
      <c r="M257" s="510"/>
    </row>
    <row r="258" spans="1:13">
      <c r="C258" s="481" t="s">
        <v>182</v>
      </c>
      <c r="D258" s="508">
        <v>1</v>
      </c>
      <c r="K258" s="775"/>
      <c r="M258" s="510">
        <f>D258*K258</f>
        <v>0</v>
      </c>
    </row>
    <row r="259" spans="1:13">
      <c r="B259" s="486"/>
      <c r="C259" s="486"/>
      <c r="D259" s="525"/>
      <c r="E259" s="486"/>
      <c r="F259" s="486"/>
      <c r="G259" s="486"/>
      <c r="H259" s="486"/>
      <c r="I259" s="486"/>
      <c r="J259" s="486"/>
      <c r="K259" s="526"/>
      <c r="L259" s="526"/>
      <c r="M259" s="527"/>
    </row>
    <row r="260" spans="1:13">
      <c r="A260" s="507" t="s">
        <v>570</v>
      </c>
      <c r="C260" s="481" t="s">
        <v>574</v>
      </c>
    </row>
    <row r="261" spans="1:13">
      <c r="C261" s="481" t="s">
        <v>575</v>
      </c>
    </row>
    <row r="262" spans="1:13">
      <c r="A262" s="508"/>
      <c r="C262" s="481" t="s">
        <v>576</v>
      </c>
    </row>
    <row r="263" spans="1:13">
      <c r="A263" s="508"/>
      <c r="C263" s="540" t="s">
        <v>577</v>
      </c>
    </row>
    <row r="264" spans="1:13">
      <c r="A264" s="508"/>
      <c r="C264" s="540" t="s">
        <v>578</v>
      </c>
    </row>
    <row r="265" spans="1:13">
      <c r="A265" s="508"/>
      <c r="C265" s="540" t="s">
        <v>579</v>
      </c>
    </row>
    <row r="266" spans="1:13">
      <c r="A266" s="508"/>
      <c r="C266" s="540"/>
    </row>
    <row r="267" spans="1:13">
      <c r="A267" s="508"/>
      <c r="C267" s="481" t="s">
        <v>190</v>
      </c>
      <c r="D267" s="508">
        <v>26</v>
      </c>
      <c r="K267" s="775"/>
      <c r="M267" s="510">
        <f>D267*K267</f>
        <v>0</v>
      </c>
    </row>
    <row r="268" spans="1:13">
      <c r="A268" s="508"/>
    </row>
    <row r="269" spans="1:13">
      <c r="A269" s="539" t="s">
        <v>573</v>
      </c>
      <c r="C269" s="481" t="s">
        <v>574</v>
      </c>
    </row>
    <row r="270" spans="1:13">
      <c r="A270" s="508"/>
      <c r="C270" s="481" t="s">
        <v>581</v>
      </c>
    </row>
    <row r="271" spans="1:13">
      <c r="A271" s="508"/>
      <c r="C271" s="481" t="s">
        <v>576</v>
      </c>
    </row>
    <row r="272" spans="1:13">
      <c r="A272" s="508"/>
      <c r="C272" s="540" t="s">
        <v>577</v>
      </c>
    </row>
    <row r="273" spans="1:13">
      <c r="A273" s="508"/>
      <c r="C273" s="540" t="s">
        <v>578</v>
      </c>
    </row>
    <row r="274" spans="1:13">
      <c r="A274" s="508"/>
      <c r="C274" s="540" t="s">
        <v>579</v>
      </c>
    </row>
    <row r="275" spans="1:13">
      <c r="A275" s="508"/>
    </row>
    <row r="276" spans="1:13">
      <c r="A276" s="508"/>
      <c r="C276" s="481" t="s">
        <v>190</v>
      </c>
      <c r="D276" s="508">
        <v>13</v>
      </c>
      <c r="K276" s="775"/>
      <c r="M276" s="510">
        <f>D276*K276</f>
        <v>0</v>
      </c>
    </row>
    <row r="278" spans="1:13">
      <c r="A278" s="507" t="s">
        <v>580</v>
      </c>
      <c r="C278" s="481" t="s">
        <v>583</v>
      </c>
    </row>
    <row r="279" spans="1:13">
      <c r="C279" s="481" t="s">
        <v>584</v>
      </c>
    </row>
    <row r="280" spans="1:13" hidden="1">
      <c r="A280" s="508"/>
    </row>
    <row r="281" spans="1:13" hidden="1">
      <c r="A281" s="508"/>
    </row>
    <row r="282" spans="1:13">
      <c r="A282" s="508"/>
    </row>
    <row r="283" spans="1:13">
      <c r="A283" s="508"/>
      <c r="C283" s="481" t="s">
        <v>190</v>
      </c>
      <c r="D283" s="508">
        <v>39</v>
      </c>
      <c r="K283" s="775"/>
      <c r="M283" s="510">
        <f>D283*K283</f>
        <v>0</v>
      </c>
    </row>
    <row r="284" spans="1:13">
      <c r="A284" s="508"/>
      <c r="B284" s="486"/>
      <c r="C284" s="486"/>
      <c r="D284" s="525"/>
      <c r="E284" s="486"/>
      <c r="F284" s="486"/>
      <c r="G284" s="486"/>
      <c r="H284" s="486"/>
      <c r="I284" s="486"/>
      <c r="J284" s="486"/>
      <c r="K284" s="526"/>
      <c r="L284" s="526"/>
      <c r="M284" s="527"/>
    </row>
    <row r="285" spans="1:13" ht="12.75" customHeight="1">
      <c r="A285" s="507" t="s">
        <v>582</v>
      </c>
      <c r="C285" s="481" t="s">
        <v>586</v>
      </c>
    </row>
    <row r="286" spans="1:13">
      <c r="C286" s="481" t="s">
        <v>587</v>
      </c>
    </row>
    <row r="287" spans="1:13">
      <c r="C287" s="540" t="s">
        <v>588</v>
      </c>
    </row>
    <row r="288" spans="1:13">
      <c r="C288" s="540" t="s">
        <v>589</v>
      </c>
    </row>
    <row r="289" spans="1:13">
      <c r="C289" s="540" t="s">
        <v>590</v>
      </c>
    </row>
    <row r="290" spans="1:13">
      <c r="C290" s="540" t="s">
        <v>591</v>
      </c>
    </row>
    <row r="291" spans="1:13">
      <c r="C291" s="540"/>
    </row>
    <row r="292" spans="1:13" hidden="1">
      <c r="A292" s="508"/>
      <c r="C292" s="481" t="s">
        <v>592</v>
      </c>
    </row>
    <row r="293" spans="1:13" hidden="1">
      <c r="A293" s="508"/>
    </row>
    <row r="294" spans="1:13">
      <c r="A294" s="508"/>
      <c r="C294" s="481" t="s">
        <v>190</v>
      </c>
      <c r="D294" s="508">
        <v>26</v>
      </c>
      <c r="K294" s="775"/>
      <c r="M294" s="510">
        <f>D294*K294</f>
        <v>0</v>
      </c>
    </row>
    <row r="295" spans="1:13">
      <c r="A295" s="508"/>
    </row>
    <row r="296" spans="1:13">
      <c r="C296" s="514"/>
      <c r="D296" s="515"/>
      <c r="E296" s="516"/>
      <c r="F296" s="516"/>
      <c r="G296" s="516"/>
      <c r="H296" s="516"/>
      <c r="I296" s="516"/>
      <c r="J296" s="515"/>
      <c r="K296" s="517"/>
      <c r="L296" s="517"/>
      <c r="M296" s="518" t="s">
        <v>593</v>
      </c>
    </row>
    <row r="297" spans="1:13">
      <c r="M297" s="519"/>
    </row>
    <row r="298" spans="1:13" ht="13.5" thickBot="1">
      <c r="B298" s="520"/>
      <c r="C298" s="520"/>
      <c r="D298" s="521"/>
      <c r="E298" s="520"/>
      <c r="F298" s="520"/>
      <c r="G298" s="520"/>
      <c r="H298" s="520"/>
      <c r="I298" s="520"/>
      <c r="J298" s="520"/>
      <c r="K298" s="522"/>
      <c r="L298" s="522"/>
      <c r="M298" s="523"/>
    </row>
    <row r="299" spans="1:13" ht="13.5" thickTop="1">
      <c r="A299" s="524"/>
      <c r="B299" s="486"/>
      <c r="C299" s="486"/>
      <c r="D299" s="525"/>
      <c r="E299" s="486"/>
      <c r="F299" s="486"/>
      <c r="G299" s="486"/>
      <c r="H299" s="486"/>
      <c r="I299" s="486"/>
      <c r="J299" s="486"/>
      <c r="K299" s="526"/>
      <c r="L299" s="526"/>
      <c r="M299" s="527"/>
    </row>
    <row r="300" spans="1:13">
      <c r="A300" s="507" t="s">
        <v>585</v>
      </c>
      <c r="C300" s="481" t="s">
        <v>595</v>
      </c>
    </row>
    <row r="301" spans="1:13">
      <c r="C301" s="481" t="s">
        <v>596</v>
      </c>
    </row>
    <row r="302" spans="1:13">
      <c r="A302" s="508"/>
    </row>
    <row r="303" spans="1:13">
      <c r="A303" s="508"/>
      <c r="C303" s="481" t="s">
        <v>60</v>
      </c>
      <c r="D303" s="508">
        <v>1500</v>
      </c>
      <c r="K303" s="775"/>
      <c r="M303" s="510">
        <f>D303*K303</f>
        <v>0</v>
      </c>
    </row>
    <row r="304" spans="1:13">
      <c r="A304" s="508"/>
      <c r="B304" s="493"/>
      <c r="C304" s="493"/>
      <c r="D304" s="507"/>
      <c r="E304" s="493"/>
      <c r="F304" s="493"/>
      <c r="G304" s="493"/>
      <c r="H304" s="493"/>
      <c r="I304" s="493"/>
      <c r="J304" s="507"/>
      <c r="K304" s="511"/>
      <c r="L304" s="511"/>
      <c r="M304" s="512"/>
    </row>
    <row r="305" spans="1:13">
      <c r="A305" s="507" t="s">
        <v>594</v>
      </c>
      <c r="C305" s="481" t="s">
        <v>597</v>
      </c>
    </row>
    <row r="306" spans="1:13">
      <c r="C306" s="481" t="s">
        <v>598</v>
      </c>
    </row>
    <row r="308" spans="1:13">
      <c r="C308" s="481" t="s">
        <v>190</v>
      </c>
      <c r="D308" s="508">
        <v>45</v>
      </c>
      <c r="K308" s="776"/>
      <c r="M308" s="510">
        <f>D308*K308</f>
        <v>0</v>
      </c>
    </row>
    <row r="309" spans="1:13">
      <c r="B309" s="493"/>
      <c r="C309" s="493"/>
      <c r="D309" s="507"/>
      <c r="E309" s="493"/>
      <c r="F309" s="493"/>
      <c r="G309" s="493"/>
      <c r="H309" s="493"/>
      <c r="I309" s="493"/>
      <c r="J309" s="507"/>
      <c r="K309" s="511"/>
      <c r="L309" s="511"/>
      <c r="M309" s="512"/>
    </row>
    <row r="310" spans="1:13">
      <c r="C310" s="481" t="s">
        <v>599</v>
      </c>
    </row>
    <row r="311" spans="1:13" hidden="1">
      <c r="A311" s="507">
        <v>75541</v>
      </c>
      <c r="C311" s="481" t="s">
        <v>600</v>
      </c>
    </row>
    <row r="312" spans="1:13" hidden="1">
      <c r="A312" s="508"/>
      <c r="C312" s="481" t="s">
        <v>601</v>
      </c>
    </row>
    <row r="313" spans="1:13">
      <c r="A313" s="508"/>
    </row>
    <row r="314" spans="1:13">
      <c r="A314" s="508"/>
      <c r="B314" s="481" t="s">
        <v>602</v>
      </c>
      <c r="C314" s="481" t="s">
        <v>603</v>
      </c>
      <c r="E314" s="481" t="s">
        <v>604</v>
      </c>
      <c r="I314" s="481" t="s">
        <v>190</v>
      </c>
      <c r="J314" s="508">
        <v>1</v>
      </c>
      <c r="K314" s="777"/>
    </row>
    <row r="315" spans="1:13" s="493" customFormat="1">
      <c r="A315" s="508"/>
      <c r="B315" s="481" t="s">
        <v>602</v>
      </c>
      <c r="C315" s="481" t="s">
        <v>605</v>
      </c>
      <c r="D315" s="508"/>
      <c r="E315" s="481"/>
      <c r="F315" s="481"/>
      <c r="G315" s="481"/>
      <c r="H315" s="481"/>
      <c r="I315" s="481"/>
      <c r="J315" s="508"/>
      <c r="K315" s="509"/>
      <c r="L315" s="509"/>
      <c r="M315" s="510"/>
    </row>
    <row r="316" spans="1:13">
      <c r="A316" s="508"/>
      <c r="C316" s="481" t="s">
        <v>606</v>
      </c>
    </row>
    <row r="317" spans="1:13">
      <c r="A317" s="508"/>
      <c r="C317" s="481" t="s">
        <v>182</v>
      </c>
      <c r="D317" s="508">
        <v>1</v>
      </c>
      <c r="K317" s="775"/>
      <c r="M317" s="510">
        <f>D317*K317</f>
        <v>0</v>
      </c>
    </row>
    <row r="318" spans="1:13">
      <c r="A318" s="508"/>
    </row>
    <row r="319" spans="1:13" s="493" customFormat="1">
      <c r="A319" s="539" t="s">
        <v>607</v>
      </c>
      <c r="B319" s="481"/>
      <c r="C319" s="481" t="s">
        <v>608</v>
      </c>
      <c r="D319" s="508"/>
      <c r="E319" s="481"/>
      <c r="F319" s="481"/>
      <c r="G319" s="481"/>
      <c r="H319" s="481"/>
      <c r="I319" s="481"/>
      <c r="J319" s="508"/>
      <c r="K319" s="509"/>
      <c r="L319" s="509"/>
      <c r="M319" s="510"/>
    </row>
    <row r="320" spans="1:13" s="493" customFormat="1">
      <c r="A320" s="507"/>
      <c r="B320" s="481"/>
      <c r="C320" s="481" t="s">
        <v>609</v>
      </c>
      <c r="D320" s="508"/>
      <c r="E320" s="481"/>
      <c r="F320" s="481"/>
      <c r="G320" s="481"/>
      <c r="H320" s="481"/>
      <c r="I320" s="481"/>
      <c r="J320" s="508"/>
      <c r="K320" s="509"/>
      <c r="L320" s="509"/>
      <c r="M320" s="510"/>
    </row>
    <row r="321" spans="1:13" s="493" customFormat="1">
      <c r="A321" s="508"/>
      <c r="B321" s="481"/>
      <c r="C321" s="481" t="s">
        <v>190</v>
      </c>
      <c r="D321" s="508">
        <v>39</v>
      </c>
      <c r="E321" s="481"/>
      <c r="F321" s="481"/>
      <c r="G321" s="481"/>
      <c r="H321" s="481"/>
      <c r="I321" s="481"/>
      <c r="J321" s="508"/>
      <c r="K321" s="775"/>
      <c r="L321" s="509"/>
      <c r="M321" s="510">
        <f>D321*K321</f>
        <v>0</v>
      </c>
    </row>
    <row r="322" spans="1:13" s="493" customFormat="1">
      <c r="A322" s="508"/>
      <c r="B322" s="481"/>
      <c r="C322" s="481"/>
      <c r="D322" s="508"/>
      <c r="E322" s="481"/>
      <c r="F322" s="481"/>
      <c r="G322" s="481"/>
      <c r="H322" s="481"/>
      <c r="I322" s="481"/>
      <c r="J322" s="508"/>
      <c r="K322" s="509"/>
      <c r="L322" s="509"/>
      <c r="M322" s="510"/>
    </row>
    <row r="323" spans="1:13" s="493" customFormat="1">
      <c r="A323" s="539" t="s">
        <v>610</v>
      </c>
      <c r="B323" s="481"/>
      <c r="C323" s="481" t="s">
        <v>611</v>
      </c>
      <c r="D323" s="508"/>
      <c r="E323" s="481"/>
      <c r="F323" s="481"/>
      <c r="G323" s="481"/>
      <c r="H323" s="481"/>
      <c r="I323" s="481"/>
      <c r="J323" s="508"/>
      <c r="K323" s="509"/>
      <c r="L323" s="509"/>
      <c r="M323" s="510"/>
    </row>
    <row r="324" spans="1:13" s="493" customFormat="1">
      <c r="A324" s="507"/>
      <c r="B324" s="481"/>
      <c r="C324" s="481" t="s">
        <v>612</v>
      </c>
      <c r="D324" s="508"/>
      <c r="E324" s="481"/>
      <c r="F324" s="481"/>
      <c r="G324" s="481"/>
      <c r="H324" s="481"/>
      <c r="I324" s="481"/>
      <c r="J324" s="508"/>
      <c r="K324" s="509"/>
      <c r="L324" s="509"/>
      <c r="M324" s="510"/>
    </row>
    <row r="325" spans="1:13" s="493" customFormat="1">
      <c r="A325" s="507"/>
      <c r="B325" s="481"/>
      <c r="C325" s="481" t="s">
        <v>613</v>
      </c>
      <c r="D325" s="508"/>
      <c r="E325" s="481"/>
      <c r="F325" s="481"/>
      <c r="G325" s="481"/>
      <c r="H325" s="481"/>
      <c r="I325" s="481"/>
      <c r="J325" s="508"/>
      <c r="K325" s="509"/>
      <c r="L325" s="509"/>
      <c r="M325" s="510"/>
    </row>
    <row r="326" spans="1:13" s="493" customFormat="1">
      <c r="A326" s="507"/>
      <c r="B326" s="481"/>
      <c r="C326" s="481" t="s">
        <v>60</v>
      </c>
      <c r="D326" s="508">
        <v>1500</v>
      </c>
      <c r="E326" s="481"/>
      <c r="F326" s="481"/>
      <c r="G326" s="481"/>
      <c r="H326" s="481"/>
      <c r="I326" s="481"/>
      <c r="J326" s="508"/>
      <c r="K326" s="775"/>
      <c r="L326" s="509"/>
      <c r="M326" s="510">
        <f>D326*K326</f>
        <v>0</v>
      </c>
    </row>
    <row r="328" spans="1:13" s="493" customFormat="1">
      <c r="A328" s="539" t="s">
        <v>614</v>
      </c>
      <c r="B328" s="481"/>
      <c r="C328" s="481" t="s">
        <v>615</v>
      </c>
      <c r="D328" s="508"/>
      <c r="E328" s="481"/>
      <c r="F328" s="481"/>
      <c r="G328" s="481"/>
      <c r="H328" s="481"/>
      <c r="I328" s="481"/>
      <c r="J328" s="508"/>
      <c r="K328" s="509"/>
      <c r="L328" s="509"/>
      <c r="M328" s="510"/>
    </row>
    <row r="329" spans="1:13" s="493" customFormat="1">
      <c r="A329" s="507"/>
      <c r="B329" s="481"/>
      <c r="C329" s="481" t="s">
        <v>182</v>
      </c>
      <c r="D329" s="508">
        <v>1</v>
      </c>
      <c r="E329" s="481"/>
      <c r="F329" s="481"/>
      <c r="G329" s="481"/>
      <c r="H329" s="481"/>
      <c r="I329" s="481"/>
      <c r="J329" s="508"/>
      <c r="K329" s="775"/>
      <c r="L329" s="509"/>
      <c r="M329" s="510">
        <f>D329*K329</f>
        <v>0</v>
      </c>
    </row>
    <row r="331" spans="1:13" s="493" customFormat="1">
      <c r="A331" s="539" t="s">
        <v>616</v>
      </c>
      <c r="B331" s="481"/>
      <c r="C331" s="481" t="s">
        <v>617</v>
      </c>
      <c r="D331" s="508"/>
      <c r="E331" s="481"/>
      <c r="F331" s="481"/>
      <c r="G331" s="481"/>
      <c r="H331" s="481"/>
      <c r="I331" s="481"/>
      <c r="J331" s="508"/>
      <c r="K331" s="509"/>
      <c r="L331" s="509"/>
      <c r="M331" s="510"/>
    </row>
    <row r="332" spans="1:13" s="493" customFormat="1">
      <c r="A332" s="507"/>
      <c r="B332" s="481"/>
      <c r="C332" s="481" t="s">
        <v>182</v>
      </c>
      <c r="D332" s="508">
        <v>1</v>
      </c>
      <c r="E332" s="481"/>
      <c r="F332" s="481"/>
      <c r="G332" s="481"/>
      <c r="H332" s="481"/>
      <c r="I332" s="481"/>
      <c r="J332" s="508"/>
      <c r="K332" s="775"/>
      <c r="L332" s="509"/>
      <c r="M332" s="510">
        <f>D332*K332</f>
        <v>0</v>
      </c>
    </row>
    <row r="333" spans="1:13">
      <c r="K333" s="481"/>
      <c r="L333" s="481"/>
      <c r="M333" s="513"/>
    </row>
    <row r="334" spans="1:13" ht="13.5" thickBot="1">
      <c r="A334" s="508"/>
    </row>
    <row r="335" spans="1:13" ht="13.5" thickTop="1">
      <c r="C335" s="528"/>
      <c r="D335" s="529"/>
      <c r="E335" s="528"/>
      <c r="F335" s="528"/>
      <c r="G335" s="528"/>
      <c r="H335" s="528"/>
      <c r="I335" s="528"/>
      <c r="J335" s="529"/>
      <c r="K335" s="530"/>
      <c r="L335" s="530"/>
      <c r="M335" s="531"/>
    </row>
    <row r="336" spans="1:13">
      <c r="B336" s="493"/>
      <c r="C336" s="493" t="s">
        <v>618</v>
      </c>
      <c r="D336" s="507"/>
      <c r="E336" s="493"/>
      <c r="F336" s="493"/>
      <c r="G336" s="493"/>
      <c r="H336" s="493"/>
      <c r="I336" s="493"/>
      <c r="J336" s="507"/>
      <c r="K336" s="511"/>
      <c r="L336" s="511"/>
      <c r="M336" s="512">
        <f>SUM(M238:M332)</f>
        <v>0</v>
      </c>
    </row>
    <row r="337" spans="2:13">
      <c r="B337" s="493"/>
      <c r="C337" s="493"/>
      <c r="D337" s="507"/>
      <c r="E337" s="493"/>
      <c r="F337" s="493"/>
      <c r="G337" s="493"/>
      <c r="H337" s="493"/>
      <c r="I337" s="493"/>
      <c r="J337" s="507"/>
      <c r="K337" s="511"/>
      <c r="L337" s="511"/>
      <c r="M337" s="512"/>
    </row>
    <row r="338" spans="2:13">
      <c r="B338" s="493"/>
      <c r="C338" s="493"/>
      <c r="D338" s="507"/>
      <c r="E338" s="493"/>
      <c r="F338" s="493"/>
      <c r="G338" s="493"/>
      <c r="H338" s="493"/>
      <c r="I338" s="493"/>
      <c r="J338" s="507"/>
      <c r="K338" s="511"/>
      <c r="L338" s="511"/>
      <c r="M338" s="512"/>
    </row>
    <row r="339" spans="2:13">
      <c r="B339" s="493"/>
      <c r="C339" s="493"/>
      <c r="D339" s="507"/>
      <c r="E339" s="493"/>
      <c r="F339" s="493"/>
      <c r="G339" s="493"/>
      <c r="H339" s="493"/>
      <c r="I339" s="493"/>
      <c r="J339" s="507"/>
      <c r="K339" s="511"/>
      <c r="L339" s="511"/>
      <c r="M339" s="512"/>
    </row>
    <row r="340" spans="2:13">
      <c r="B340" s="493"/>
      <c r="C340" s="493"/>
      <c r="D340" s="507"/>
      <c r="E340" s="493"/>
      <c r="F340" s="493"/>
      <c r="G340" s="493"/>
      <c r="H340" s="493"/>
      <c r="I340" s="493"/>
      <c r="J340" s="507"/>
      <c r="K340" s="511"/>
      <c r="L340" s="511"/>
      <c r="M340" s="512"/>
    </row>
    <row r="341" spans="2:13">
      <c r="B341" s="493"/>
      <c r="C341" s="493"/>
      <c r="D341" s="507"/>
      <c r="E341" s="493"/>
      <c r="F341" s="493"/>
      <c r="G341" s="493"/>
      <c r="H341" s="493"/>
      <c r="I341" s="493"/>
      <c r="J341" s="507"/>
      <c r="K341" s="511"/>
      <c r="L341" s="511"/>
      <c r="M341" s="512"/>
    </row>
    <row r="342" spans="2:13">
      <c r="B342" s="493"/>
      <c r="C342" s="493"/>
      <c r="D342" s="507"/>
      <c r="E342" s="493"/>
      <c r="F342" s="493"/>
      <c r="G342" s="493"/>
      <c r="H342" s="493"/>
      <c r="I342" s="493"/>
      <c r="J342" s="507"/>
      <c r="K342" s="511"/>
      <c r="L342" s="511"/>
      <c r="M342" s="512"/>
    </row>
    <row r="343" spans="2:13">
      <c r="B343" s="493"/>
      <c r="C343" s="493"/>
      <c r="D343" s="507"/>
      <c r="E343" s="493"/>
      <c r="F343" s="493"/>
      <c r="G343" s="493"/>
      <c r="H343" s="493"/>
      <c r="I343" s="493"/>
      <c r="J343" s="507"/>
      <c r="K343" s="511"/>
      <c r="L343" s="511"/>
      <c r="M343" s="512"/>
    </row>
    <row r="344" spans="2:13">
      <c r="B344" s="493"/>
      <c r="C344" s="493"/>
      <c r="D344" s="507"/>
      <c r="E344" s="493"/>
      <c r="F344" s="493"/>
      <c r="G344" s="493"/>
      <c r="H344" s="493"/>
      <c r="I344" s="493"/>
      <c r="J344" s="507"/>
      <c r="K344" s="511"/>
      <c r="L344" s="511"/>
      <c r="M344" s="512"/>
    </row>
    <row r="345" spans="2:13">
      <c r="B345" s="493"/>
      <c r="C345" s="493"/>
      <c r="D345" s="507"/>
      <c r="E345" s="493"/>
      <c r="F345" s="493"/>
      <c r="G345" s="493"/>
      <c r="H345" s="493"/>
      <c r="I345" s="493"/>
      <c r="J345" s="507"/>
      <c r="K345" s="511"/>
      <c r="L345" s="511"/>
      <c r="M345" s="512"/>
    </row>
    <row r="346" spans="2:13">
      <c r="B346" s="493"/>
      <c r="C346" s="493"/>
      <c r="D346" s="507"/>
      <c r="E346" s="493"/>
      <c r="F346" s="493"/>
      <c r="G346" s="493"/>
      <c r="H346" s="493"/>
      <c r="I346" s="493"/>
      <c r="J346" s="507"/>
      <c r="K346" s="511"/>
      <c r="L346" s="511"/>
      <c r="M346" s="512"/>
    </row>
    <row r="347" spans="2:13">
      <c r="B347" s="493"/>
      <c r="C347" s="493"/>
      <c r="D347" s="507"/>
      <c r="E347" s="493"/>
      <c r="F347" s="493"/>
      <c r="G347" s="493"/>
      <c r="H347" s="493"/>
      <c r="I347" s="493"/>
      <c r="J347" s="507"/>
      <c r="K347" s="511"/>
      <c r="L347" s="511"/>
      <c r="M347" s="512"/>
    </row>
    <row r="348" spans="2:13">
      <c r="B348" s="493"/>
      <c r="C348" s="493"/>
      <c r="D348" s="507"/>
      <c r="E348" s="493"/>
      <c r="F348" s="493"/>
      <c r="G348" s="493"/>
      <c r="H348" s="493"/>
      <c r="I348" s="493"/>
      <c r="J348" s="507"/>
      <c r="K348" s="511"/>
      <c r="L348" s="511"/>
      <c r="M348" s="512"/>
    </row>
    <row r="350" spans="2:13">
      <c r="C350" s="514"/>
      <c r="D350" s="515"/>
      <c r="E350" s="516"/>
      <c r="F350" s="516"/>
      <c r="G350" s="516"/>
      <c r="H350" s="516"/>
      <c r="I350" s="516"/>
      <c r="J350" s="515"/>
      <c r="K350" s="517"/>
      <c r="L350" s="517"/>
      <c r="M350" s="518" t="s">
        <v>619</v>
      </c>
    </row>
    <row r="351" spans="2:13">
      <c r="M351" s="519"/>
    </row>
    <row r="352" spans="2:13" ht="13.5" thickBot="1">
      <c r="B352" s="520"/>
      <c r="C352" s="520"/>
      <c r="D352" s="521"/>
      <c r="E352" s="520"/>
      <c r="F352" s="520"/>
      <c r="G352" s="520"/>
      <c r="H352" s="520"/>
      <c r="I352" s="520"/>
      <c r="J352" s="520"/>
      <c r="K352" s="522"/>
      <c r="L352" s="522"/>
      <c r="M352" s="523"/>
    </row>
    <row r="353" spans="1:13" ht="14.25" thickTop="1" thickBot="1">
      <c r="A353" s="477"/>
      <c r="B353" s="486"/>
      <c r="C353" s="486"/>
      <c r="D353" s="525"/>
      <c r="E353" s="486"/>
      <c r="F353" s="486"/>
      <c r="G353" s="486"/>
      <c r="H353" s="486"/>
      <c r="I353" s="486"/>
      <c r="J353" s="486"/>
      <c r="K353" s="526"/>
      <c r="L353" s="526"/>
      <c r="M353" s="527"/>
    </row>
    <row r="354" spans="1:13" s="493" customFormat="1" ht="15.75" thickTop="1">
      <c r="A354" s="535" t="s">
        <v>620</v>
      </c>
      <c r="C354" s="493" t="s">
        <v>621</v>
      </c>
      <c r="D354" s="507"/>
      <c r="J354" s="507"/>
      <c r="K354" s="511"/>
      <c r="L354" s="511"/>
      <c r="M354" s="512"/>
    </row>
    <row r="355" spans="1:13" s="493" customFormat="1">
      <c r="A355" s="507"/>
      <c r="D355" s="507"/>
      <c r="J355" s="507"/>
      <c r="K355" s="511"/>
      <c r="L355" s="511"/>
      <c r="M355" s="512"/>
    </row>
    <row r="356" spans="1:13" s="541" customFormat="1" ht="15">
      <c r="A356" s="507" t="s">
        <v>622</v>
      </c>
      <c r="B356" s="481"/>
      <c r="C356" s="481" t="s">
        <v>623</v>
      </c>
      <c r="D356" s="508"/>
      <c r="E356" s="481"/>
      <c r="F356" s="481"/>
      <c r="G356" s="481"/>
      <c r="H356" s="481"/>
      <c r="I356" s="481"/>
      <c r="J356" s="508"/>
      <c r="K356" s="509"/>
      <c r="L356" s="509"/>
      <c r="M356" s="510"/>
    </row>
    <row r="357" spans="1:13" s="494" customFormat="1" ht="15">
      <c r="A357" s="507"/>
      <c r="B357" s="481"/>
      <c r="C357" s="481" t="s">
        <v>624</v>
      </c>
      <c r="D357" s="508"/>
      <c r="E357" s="481"/>
      <c r="F357" s="481"/>
      <c r="G357" s="481"/>
      <c r="H357" s="481"/>
      <c r="I357" s="481"/>
      <c r="J357" s="508"/>
      <c r="K357" s="509"/>
      <c r="L357" s="509"/>
      <c r="M357" s="510"/>
    </row>
    <row r="358" spans="1:13">
      <c r="C358" s="481" t="s">
        <v>182</v>
      </c>
      <c r="D358" s="508">
        <v>1</v>
      </c>
      <c r="K358" s="775"/>
      <c r="M358" s="510">
        <f>D358*K358</f>
        <v>0</v>
      </c>
    </row>
    <row r="361" spans="1:13">
      <c r="A361" s="507" t="s">
        <v>625</v>
      </c>
      <c r="C361" s="493" t="s">
        <v>626</v>
      </c>
      <c r="D361" s="508">
        <v>1</v>
      </c>
      <c r="K361" s="775"/>
      <c r="M361" s="510">
        <f>D361*K361</f>
        <v>0</v>
      </c>
    </row>
    <row r="364" spans="1:13">
      <c r="C364" s="493"/>
    </row>
    <row r="365" spans="1:13" s="493" customFormat="1" ht="13.5" thickBot="1">
      <c r="A365" s="507"/>
      <c r="B365" s="481"/>
      <c r="C365" s="481"/>
      <c r="D365" s="508"/>
      <c r="E365" s="481"/>
      <c r="F365" s="481"/>
      <c r="G365" s="481"/>
      <c r="H365" s="481"/>
      <c r="I365" s="481"/>
      <c r="J365" s="508"/>
      <c r="K365" s="509"/>
      <c r="L365" s="509"/>
      <c r="M365" s="510"/>
    </row>
    <row r="366" spans="1:13" s="493" customFormat="1" ht="13.5" thickTop="1">
      <c r="A366" s="507"/>
      <c r="B366" s="481"/>
      <c r="C366" s="528"/>
      <c r="D366" s="529"/>
      <c r="E366" s="528"/>
      <c r="F366" s="528"/>
      <c r="G366" s="528"/>
      <c r="H366" s="528"/>
      <c r="I366" s="528"/>
      <c r="J366" s="529"/>
      <c r="K366" s="530"/>
      <c r="L366" s="530"/>
      <c r="M366" s="531"/>
    </row>
    <row r="367" spans="1:13">
      <c r="B367" s="493"/>
      <c r="C367" s="723" t="s">
        <v>819</v>
      </c>
      <c r="D367" s="507"/>
      <c r="E367" s="493"/>
      <c r="F367" s="493"/>
      <c r="G367" s="493"/>
      <c r="H367" s="493"/>
      <c r="I367" s="493"/>
      <c r="J367" s="507"/>
      <c r="K367" s="511"/>
      <c r="L367" s="511"/>
      <c r="M367" s="512">
        <f>M358+M361+M364</f>
        <v>0</v>
      </c>
    </row>
    <row r="368" spans="1:13" s="483" customFormat="1" ht="15.75">
      <c r="A368" s="507"/>
      <c r="B368" s="493"/>
      <c r="C368" s="493"/>
      <c r="D368" s="507"/>
      <c r="E368" s="493"/>
      <c r="F368" s="493"/>
      <c r="G368" s="493"/>
      <c r="H368" s="493"/>
      <c r="I368" s="493"/>
      <c r="J368" s="507"/>
      <c r="K368" s="511"/>
      <c r="L368" s="511"/>
      <c r="M368" s="512"/>
    </row>
    <row r="369" spans="1:13" s="493" customFormat="1" ht="13.5" thickBot="1">
      <c r="A369" s="507"/>
      <c r="B369" s="481"/>
      <c r="C369" s="481"/>
      <c r="D369" s="508"/>
      <c r="E369" s="481"/>
      <c r="F369" s="481"/>
      <c r="G369" s="481"/>
      <c r="H369" s="481"/>
      <c r="I369" s="481"/>
      <c r="J369" s="508"/>
      <c r="K369" s="509"/>
      <c r="L369" s="509"/>
      <c r="M369" s="510"/>
    </row>
    <row r="370" spans="1:13" s="493" customFormat="1" ht="14.25" thickTop="1" thickBot="1">
      <c r="A370" s="507"/>
      <c r="B370" s="481"/>
      <c r="C370" s="528"/>
      <c r="D370" s="529"/>
      <c r="E370" s="528"/>
      <c r="F370" s="528"/>
      <c r="G370" s="528"/>
      <c r="H370" s="528"/>
      <c r="I370" s="528"/>
      <c r="J370" s="529"/>
      <c r="K370" s="530"/>
      <c r="L370" s="530"/>
      <c r="M370" s="531"/>
    </row>
    <row r="371" spans="1:13" s="493" customFormat="1" ht="16.5" thickBot="1">
      <c r="A371" s="535"/>
      <c r="B371" s="483"/>
      <c r="C371" s="488"/>
      <c r="D371" s="489"/>
      <c r="E371" s="490"/>
      <c r="F371" s="490"/>
      <c r="G371" s="490"/>
      <c r="H371" s="490"/>
      <c r="I371" s="490"/>
      <c r="J371" s="489"/>
      <c r="K371" s="491"/>
      <c r="L371" s="491"/>
      <c r="M371" s="492"/>
    </row>
    <row r="372" spans="1:13" s="493" customFormat="1" ht="15.75">
      <c r="A372" s="482"/>
      <c r="D372" s="507"/>
      <c r="J372" s="507"/>
      <c r="K372" s="511"/>
      <c r="L372" s="511"/>
      <c r="M372" s="512"/>
    </row>
    <row r="373" spans="1:13" s="493" customFormat="1">
      <c r="A373" s="507"/>
      <c r="D373" s="507"/>
      <c r="J373" s="507"/>
      <c r="K373" s="511"/>
      <c r="L373" s="511"/>
      <c r="M373" s="512"/>
    </row>
    <row r="374" spans="1:13" s="493" customFormat="1">
      <c r="A374" s="507"/>
      <c r="D374" s="507"/>
      <c r="J374" s="507"/>
      <c r="K374" s="511"/>
      <c r="L374" s="511"/>
      <c r="M374" s="512"/>
    </row>
    <row r="375" spans="1:13" s="493" customFormat="1">
      <c r="A375" s="507"/>
      <c r="D375" s="507"/>
      <c r="J375" s="507"/>
      <c r="K375" s="511"/>
      <c r="L375" s="511"/>
      <c r="M375" s="512"/>
    </row>
    <row r="376" spans="1:13" s="493" customFormat="1">
      <c r="A376" s="507"/>
      <c r="D376" s="507"/>
      <c r="J376" s="507"/>
      <c r="K376" s="511"/>
      <c r="L376" s="511"/>
      <c r="M376" s="512"/>
    </row>
    <row r="377" spans="1:13" s="493" customFormat="1">
      <c r="A377" s="507"/>
      <c r="D377" s="507"/>
      <c r="J377" s="507"/>
      <c r="K377" s="511"/>
      <c r="L377" s="511"/>
      <c r="M377" s="512"/>
    </row>
    <row r="378" spans="1:13" s="493" customFormat="1">
      <c r="A378" s="507"/>
      <c r="D378" s="507"/>
      <c r="J378" s="507"/>
      <c r="K378" s="511"/>
      <c r="L378" s="511"/>
      <c r="M378" s="512"/>
    </row>
    <row r="379" spans="1:13" s="493" customFormat="1">
      <c r="A379" s="507"/>
      <c r="D379" s="507"/>
      <c r="J379" s="507"/>
      <c r="K379" s="511"/>
      <c r="L379" s="511"/>
      <c r="M379" s="512"/>
    </row>
    <row r="380" spans="1:13" s="493" customFormat="1">
      <c r="A380" s="507"/>
      <c r="D380" s="507"/>
      <c r="J380" s="507"/>
      <c r="K380" s="511"/>
      <c r="L380" s="511"/>
      <c r="M380" s="512"/>
    </row>
    <row r="381" spans="1:13" s="493" customFormat="1">
      <c r="A381" s="507"/>
      <c r="D381" s="507"/>
      <c r="J381" s="507"/>
      <c r="K381" s="511"/>
      <c r="L381" s="511"/>
      <c r="M381" s="512"/>
    </row>
    <row r="382" spans="1:13" s="493" customFormat="1">
      <c r="A382" s="507"/>
      <c r="D382" s="507"/>
      <c r="J382" s="507"/>
      <c r="K382" s="511"/>
      <c r="L382" s="511"/>
      <c r="M382" s="512"/>
    </row>
    <row r="383" spans="1:13" s="493" customFormat="1">
      <c r="A383" s="507"/>
      <c r="D383" s="507"/>
      <c r="J383" s="507"/>
      <c r="K383" s="511"/>
      <c r="L383" s="511"/>
      <c r="M383" s="512"/>
    </row>
    <row r="384" spans="1:13" s="493" customFormat="1">
      <c r="A384" s="507"/>
      <c r="D384" s="507"/>
      <c r="J384" s="507"/>
      <c r="K384" s="511"/>
      <c r="L384" s="511"/>
      <c r="M384" s="512"/>
    </row>
    <row r="385" spans="1:13" s="493" customFormat="1">
      <c r="A385" s="507"/>
      <c r="D385" s="507"/>
      <c r="J385" s="507"/>
      <c r="K385" s="511"/>
      <c r="L385" s="511"/>
      <c r="M385" s="512"/>
    </row>
    <row r="386" spans="1:13" s="493" customFormat="1">
      <c r="A386" s="507"/>
      <c r="D386" s="507"/>
      <c r="J386" s="507"/>
      <c r="K386" s="511"/>
      <c r="L386" s="511"/>
      <c r="M386" s="512"/>
    </row>
    <row r="387" spans="1:13" s="493" customFormat="1">
      <c r="A387" s="507"/>
      <c r="D387" s="507"/>
      <c r="J387" s="507"/>
      <c r="K387" s="511"/>
      <c r="L387" s="511"/>
      <c r="M387" s="512"/>
    </row>
    <row r="388" spans="1:13" s="493" customFormat="1">
      <c r="A388" s="507"/>
      <c r="D388" s="507"/>
      <c r="J388" s="507"/>
      <c r="K388" s="511"/>
      <c r="L388" s="511"/>
      <c r="M388" s="512"/>
    </row>
    <row r="389" spans="1:13" s="493" customFormat="1">
      <c r="A389" s="507"/>
      <c r="D389" s="507"/>
      <c r="J389" s="507"/>
      <c r="K389" s="511"/>
      <c r="L389" s="511"/>
      <c r="M389" s="512"/>
    </row>
    <row r="390" spans="1:13" s="493" customFormat="1">
      <c r="A390" s="507"/>
      <c r="D390" s="507"/>
      <c r="J390" s="507"/>
      <c r="K390" s="511"/>
      <c r="L390" s="511"/>
      <c r="M390" s="512"/>
    </row>
    <row r="391" spans="1:13" s="493" customFormat="1">
      <c r="A391" s="507"/>
      <c r="D391" s="507"/>
      <c r="J391" s="507"/>
      <c r="K391" s="511"/>
      <c r="L391" s="511"/>
      <c r="M391" s="512"/>
    </row>
    <row r="392" spans="1:13" s="493" customFormat="1">
      <c r="A392" s="507"/>
      <c r="D392" s="507"/>
      <c r="J392" s="507"/>
      <c r="K392" s="511"/>
      <c r="L392" s="511"/>
      <c r="M392" s="512"/>
    </row>
    <row r="393" spans="1:13" s="493" customFormat="1">
      <c r="A393" s="507"/>
      <c r="D393" s="507"/>
      <c r="J393" s="507"/>
      <c r="K393" s="511"/>
      <c r="L393" s="511"/>
      <c r="M393" s="512"/>
    </row>
    <row r="394" spans="1:13" s="493" customFormat="1">
      <c r="A394" s="507"/>
      <c r="D394" s="507"/>
      <c r="J394" s="507"/>
      <c r="K394" s="511"/>
      <c r="L394" s="511"/>
      <c r="M394" s="512"/>
    </row>
    <row r="395" spans="1:13" s="493" customFormat="1">
      <c r="A395" s="507"/>
      <c r="D395" s="507"/>
      <c r="J395" s="507"/>
      <c r="K395" s="511"/>
      <c r="L395" s="511"/>
      <c r="M395" s="512"/>
    </row>
    <row r="396" spans="1:13" s="493" customFormat="1">
      <c r="A396" s="507"/>
      <c r="D396" s="507"/>
      <c r="J396" s="507"/>
      <c r="K396" s="511"/>
      <c r="L396" s="511"/>
      <c r="M396" s="512"/>
    </row>
    <row r="397" spans="1:13" s="493" customFormat="1">
      <c r="A397" s="507"/>
      <c r="D397" s="507"/>
      <c r="J397" s="507"/>
      <c r="K397" s="511"/>
      <c r="L397" s="511"/>
      <c r="M397" s="512"/>
    </row>
    <row r="398" spans="1:13" s="493" customFormat="1">
      <c r="A398" s="507"/>
      <c r="D398" s="507"/>
      <c r="J398" s="507"/>
      <c r="K398" s="511"/>
      <c r="L398" s="511"/>
      <c r="M398" s="512"/>
    </row>
    <row r="399" spans="1:13" s="493" customFormat="1">
      <c r="A399" s="507"/>
      <c r="D399" s="507"/>
      <c r="J399" s="507"/>
      <c r="K399" s="511"/>
      <c r="L399" s="511"/>
      <c r="M399" s="512"/>
    </row>
    <row r="400" spans="1:13" s="493" customFormat="1">
      <c r="A400" s="507"/>
      <c r="D400" s="507"/>
      <c r="J400" s="507"/>
      <c r="K400" s="511"/>
      <c r="L400" s="511"/>
      <c r="M400" s="512"/>
    </row>
    <row r="401" spans="1:13" s="493" customFormat="1">
      <c r="A401" s="507"/>
      <c r="D401" s="507"/>
      <c r="J401" s="507"/>
      <c r="K401" s="511"/>
      <c r="L401" s="511"/>
      <c r="M401" s="512"/>
    </row>
    <row r="402" spans="1:13" s="493" customFormat="1">
      <c r="A402" s="507"/>
      <c r="D402" s="507"/>
      <c r="J402" s="507"/>
      <c r="K402" s="511"/>
      <c r="L402" s="511"/>
      <c r="M402" s="512"/>
    </row>
    <row r="403" spans="1:13" s="493" customFormat="1">
      <c r="A403" s="507"/>
      <c r="D403" s="507"/>
      <c r="J403" s="507"/>
      <c r="K403" s="511"/>
      <c r="L403" s="511"/>
      <c r="M403" s="512"/>
    </row>
    <row r="404" spans="1:13" s="493" customFormat="1">
      <c r="A404" s="507"/>
      <c r="D404" s="507"/>
      <c r="J404" s="507"/>
      <c r="K404" s="511"/>
      <c r="L404" s="511"/>
      <c r="M404" s="512"/>
    </row>
    <row r="405" spans="1:13" s="493" customFormat="1">
      <c r="A405" s="507"/>
      <c r="D405" s="507"/>
      <c r="J405" s="507"/>
      <c r="K405" s="511"/>
      <c r="L405" s="511"/>
      <c r="M405" s="512"/>
    </row>
    <row r="406" spans="1:13" s="493" customFormat="1">
      <c r="A406" s="507"/>
      <c r="D406" s="507"/>
      <c r="J406" s="507"/>
      <c r="K406" s="511"/>
      <c r="L406" s="511"/>
      <c r="M406" s="512"/>
    </row>
    <row r="407" spans="1:13" s="493" customFormat="1">
      <c r="A407" s="507"/>
      <c r="D407" s="507"/>
      <c r="J407" s="507"/>
      <c r="K407" s="511"/>
      <c r="L407" s="511"/>
      <c r="M407" s="512"/>
    </row>
    <row r="408" spans="1:13">
      <c r="B408" s="493"/>
      <c r="C408" s="514"/>
      <c r="D408" s="515"/>
      <c r="E408" s="516"/>
      <c r="F408" s="516"/>
      <c r="G408" s="516"/>
      <c r="H408" s="516"/>
      <c r="I408" s="516"/>
      <c r="J408" s="515"/>
      <c r="K408" s="517"/>
      <c r="L408" s="517"/>
      <c r="M408" s="518" t="s">
        <v>627</v>
      </c>
    </row>
    <row r="409" spans="1:13">
      <c r="B409" s="493"/>
      <c r="C409" s="493"/>
      <c r="D409" s="507"/>
      <c r="E409" s="493"/>
      <c r="F409" s="493"/>
      <c r="G409" s="493"/>
      <c r="H409" s="493"/>
      <c r="I409" s="493"/>
      <c r="J409" s="507"/>
      <c r="K409" s="511"/>
      <c r="L409" s="511"/>
      <c r="M409" s="512"/>
    </row>
    <row r="410" spans="1:13" ht="13.5" thickBot="1">
      <c r="B410" s="520"/>
      <c r="C410" s="520"/>
      <c r="D410" s="521"/>
      <c r="E410" s="520"/>
      <c r="F410" s="520"/>
      <c r="G410" s="520"/>
      <c r="H410" s="520"/>
      <c r="I410" s="520"/>
      <c r="J410" s="522"/>
      <c r="K410" s="522"/>
      <c r="L410" s="522"/>
      <c r="M410" s="523"/>
    </row>
    <row r="411" spans="1:13" s="493" customFormat="1" ht="14.25" thickTop="1" thickBot="1">
      <c r="A411" s="477"/>
      <c r="B411" s="486"/>
      <c r="C411" s="486"/>
      <c r="D411" s="525"/>
      <c r="E411" s="486"/>
      <c r="F411" s="486"/>
      <c r="G411" s="486"/>
      <c r="H411" s="486"/>
      <c r="I411" s="486"/>
      <c r="J411" s="526"/>
      <c r="K411" s="526"/>
      <c r="L411" s="526"/>
      <c r="M411" s="527"/>
    </row>
    <row r="412" spans="1:13" s="493" customFormat="1" ht="16.5" thickTop="1">
      <c r="A412" s="524"/>
      <c r="B412" s="483"/>
      <c r="C412" s="487" t="s">
        <v>491</v>
      </c>
      <c r="D412" s="482"/>
      <c r="E412" s="483"/>
      <c r="F412" s="483"/>
      <c r="G412" s="483"/>
      <c r="H412" s="483"/>
      <c r="I412" s="483"/>
      <c r="J412" s="482"/>
      <c r="K412" s="484"/>
      <c r="L412" s="484"/>
      <c r="M412" s="485"/>
    </row>
    <row r="413" spans="1:13" s="493" customFormat="1" ht="15.75">
      <c r="A413" s="482"/>
      <c r="B413" s="541"/>
      <c r="C413" s="542"/>
      <c r="D413" s="535"/>
      <c r="E413" s="541"/>
      <c r="F413" s="541"/>
      <c r="G413" s="541"/>
      <c r="H413" s="541"/>
      <c r="I413" s="541"/>
      <c r="J413" s="535"/>
      <c r="K413" s="543"/>
      <c r="L413" s="543"/>
      <c r="M413" s="544"/>
    </row>
    <row r="414" spans="1:13" s="493" customFormat="1" ht="15.75">
      <c r="A414" s="535"/>
      <c r="B414" s="494"/>
      <c r="C414" s="494"/>
      <c r="D414" s="495"/>
      <c r="E414" s="494"/>
      <c r="F414" s="494"/>
      <c r="G414" s="494"/>
      <c r="H414" s="494"/>
      <c r="I414" s="494"/>
      <c r="J414" s="495"/>
      <c r="K414" s="496"/>
      <c r="L414" s="496"/>
      <c r="M414" s="497"/>
    </row>
    <row r="415" spans="1:13" s="493" customFormat="1" ht="15.75">
      <c r="A415" s="482" t="s">
        <v>628</v>
      </c>
      <c r="B415" s="481"/>
      <c r="C415" s="481"/>
      <c r="D415" s="508"/>
      <c r="E415" s="481"/>
      <c r="F415" s="481"/>
      <c r="G415" s="481"/>
      <c r="H415" s="481"/>
      <c r="I415" s="481"/>
      <c r="J415" s="508"/>
      <c r="K415" s="509"/>
      <c r="L415" s="509"/>
      <c r="M415" s="510"/>
    </row>
    <row r="416" spans="1:13" s="493" customFormat="1">
      <c r="A416" s="507"/>
      <c r="C416" s="493" t="s">
        <v>629</v>
      </c>
      <c r="D416" s="507"/>
      <c r="J416" s="507"/>
      <c r="K416" s="511"/>
      <c r="L416" s="511"/>
      <c r="M416" s="512">
        <f>SUM(M78)</f>
        <v>0</v>
      </c>
    </row>
    <row r="417" spans="1:13" s="494" customFormat="1" ht="15">
      <c r="A417" s="507"/>
      <c r="B417" s="493"/>
      <c r="C417" s="493"/>
      <c r="D417" s="507"/>
      <c r="E417" s="493"/>
      <c r="F417" s="493"/>
      <c r="G417" s="493"/>
      <c r="H417" s="493"/>
      <c r="I417" s="493"/>
      <c r="J417" s="507"/>
      <c r="K417" s="511"/>
      <c r="L417" s="511"/>
      <c r="M417" s="512"/>
    </row>
    <row r="418" spans="1:13" s="493" customFormat="1">
      <c r="A418" s="507"/>
      <c r="C418" s="493" t="s">
        <v>630</v>
      </c>
      <c r="D418" s="507"/>
      <c r="J418" s="507"/>
      <c r="K418" s="511"/>
      <c r="L418" s="511"/>
      <c r="M418" s="512">
        <f>SUM(M134)</f>
        <v>0</v>
      </c>
    </row>
    <row r="419" spans="1:13" s="493" customFormat="1">
      <c r="A419" s="507"/>
      <c r="D419" s="507"/>
      <c r="J419" s="507"/>
      <c r="K419" s="511"/>
      <c r="L419" s="511"/>
      <c r="M419" s="512"/>
    </row>
    <row r="420" spans="1:13" s="493" customFormat="1">
      <c r="A420" s="507"/>
      <c r="C420" s="493" t="s">
        <v>818</v>
      </c>
      <c r="D420" s="507"/>
      <c r="J420" s="507"/>
      <c r="K420" s="511"/>
      <c r="L420" s="511"/>
      <c r="M420" s="512">
        <f>SUM(M165)</f>
        <v>0</v>
      </c>
    </row>
    <row r="421" spans="1:13" s="493" customFormat="1">
      <c r="A421" s="507"/>
      <c r="D421" s="507"/>
      <c r="J421" s="507"/>
      <c r="K421" s="511"/>
      <c r="L421" s="511"/>
      <c r="M421" s="512"/>
    </row>
    <row r="422" spans="1:13" s="493" customFormat="1">
      <c r="A422" s="507"/>
      <c r="C422" s="493" t="s">
        <v>631</v>
      </c>
      <c r="D422" s="507"/>
      <c r="J422" s="507"/>
      <c r="K422" s="511"/>
      <c r="L422" s="511"/>
      <c r="M422" s="512">
        <f>SUM(M199)</f>
        <v>0</v>
      </c>
    </row>
    <row r="423" spans="1:13" s="493" customFormat="1" ht="13.5" thickBot="1">
      <c r="A423" s="507"/>
      <c r="B423" s="481"/>
      <c r="C423" s="481"/>
      <c r="D423" s="508"/>
      <c r="E423" s="481"/>
      <c r="F423" s="481"/>
      <c r="G423" s="481"/>
      <c r="H423" s="481"/>
      <c r="I423" s="481"/>
      <c r="J423" s="508"/>
      <c r="K423" s="509"/>
      <c r="L423" s="509"/>
      <c r="M423" s="510"/>
    </row>
    <row r="424" spans="1:13" s="493" customFormat="1" ht="13.5" thickTop="1">
      <c r="A424" s="507"/>
      <c r="B424" s="481"/>
      <c r="C424" s="528"/>
      <c r="D424" s="529"/>
      <c r="E424" s="528"/>
      <c r="F424" s="528"/>
      <c r="G424" s="528"/>
      <c r="H424" s="528"/>
      <c r="I424" s="528"/>
      <c r="J424" s="529"/>
      <c r="K424" s="530"/>
      <c r="L424" s="530"/>
      <c r="M424" s="531"/>
    </row>
    <row r="425" spans="1:13" s="493" customFormat="1">
      <c r="A425" s="507"/>
      <c r="C425" s="493" t="s">
        <v>198</v>
      </c>
      <c r="D425" s="507"/>
      <c r="J425" s="507"/>
      <c r="K425" s="511"/>
      <c r="L425" s="511"/>
      <c r="M425" s="512">
        <f>SUM(M415:M422)</f>
        <v>0</v>
      </c>
    </row>
    <row r="426" spans="1:13" s="493" customFormat="1">
      <c r="A426" s="507"/>
      <c r="D426" s="507"/>
      <c r="J426" s="507"/>
      <c r="K426" s="511"/>
      <c r="L426" s="511"/>
      <c r="M426" s="512"/>
    </row>
    <row r="427" spans="1:13" s="493" customFormat="1">
      <c r="A427" s="507"/>
      <c r="C427" s="493" t="s">
        <v>632</v>
      </c>
      <c r="D427" s="507"/>
      <c r="J427" s="507"/>
      <c r="K427" s="511"/>
      <c r="L427" s="511"/>
      <c r="M427" s="512"/>
    </row>
    <row r="428" spans="1:13" s="493" customFormat="1">
      <c r="A428" s="545"/>
      <c r="C428" s="493" t="s">
        <v>633</v>
      </c>
      <c r="D428" s="507"/>
      <c r="J428" s="507"/>
      <c r="K428" s="511"/>
      <c r="L428" s="511"/>
      <c r="M428" s="512"/>
    </row>
    <row r="429" spans="1:13" s="493" customFormat="1">
      <c r="A429" s="507"/>
      <c r="C429" s="493" t="s">
        <v>634</v>
      </c>
      <c r="D429" s="507"/>
      <c r="J429" s="507"/>
      <c r="K429" s="511"/>
      <c r="L429" s="511"/>
      <c r="M429" s="512"/>
    </row>
    <row r="430" spans="1:13">
      <c r="B430" s="493"/>
      <c r="C430" s="545" t="s">
        <v>635</v>
      </c>
      <c r="D430" s="507"/>
      <c r="E430" s="493"/>
      <c r="F430" s="493"/>
      <c r="G430" s="493"/>
      <c r="H430" s="493"/>
      <c r="I430" s="493"/>
      <c r="J430" s="507"/>
      <c r="K430" s="511"/>
      <c r="L430" s="511"/>
      <c r="M430" s="512"/>
    </row>
    <row r="431" spans="1:13">
      <c r="B431" s="493"/>
      <c r="C431" s="493" t="s">
        <v>636</v>
      </c>
      <c r="D431" s="507">
        <v>1</v>
      </c>
      <c r="E431" s="493"/>
      <c r="F431" s="493"/>
      <c r="G431" s="493"/>
      <c r="H431" s="493"/>
      <c r="I431" s="493"/>
      <c r="J431" s="507"/>
      <c r="K431" s="511"/>
      <c r="L431" s="511"/>
      <c r="M431" s="512">
        <f>SUM(M425*0.08)</f>
        <v>0</v>
      </c>
    </row>
    <row r="432" spans="1:13" s="493" customFormat="1" ht="13.5" thickBot="1">
      <c r="A432" s="507"/>
      <c r="D432" s="507"/>
      <c r="J432" s="507"/>
      <c r="K432" s="511"/>
      <c r="L432" s="511"/>
      <c r="M432" s="512"/>
    </row>
    <row r="433" spans="1:13" s="493" customFormat="1" ht="14.25" thickTop="1" thickBot="1">
      <c r="A433" s="507"/>
      <c r="B433" s="481"/>
      <c r="C433" s="528"/>
      <c r="D433" s="529"/>
      <c r="E433" s="528"/>
      <c r="F433" s="528"/>
      <c r="G433" s="528"/>
      <c r="H433" s="528"/>
      <c r="I433" s="528"/>
      <c r="J433" s="529"/>
      <c r="K433" s="530"/>
      <c r="L433" s="530"/>
      <c r="M433" s="531"/>
    </row>
    <row r="434" spans="1:13" s="493" customFormat="1" ht="16.5" thickBot="1">
      <c r="A434" s="507"/>
      <c r="B434" s="483"/>
      <c r="C434" s="488" t="s">
        <v>492</v>
      </c>
      <c r="D434" s="489"/>
      <c r="E434" s="490"/>
      <c r="F434" s="490"/>
      <c r="G434" s="490"/>
      <c r="H434" s="490"/>
      <c r="I434" s="490"/>
      <c r="J434" s="489"/>
      <c r="K434" s="491"/>
      <c r="L434" s="491"/>
      <c r="M434" s="492">
        <f>SUM(M425:M431)</f>
        <v>0</v>
      </c>
    </row>
    <row r="435" spans="1:13" s="493" customFormat="1" ht="15.75">
      <c r="A435" s="482"/>
      <c r="D435" s="507"/>
      <c r="J435" s="507"/>
      <c r="K435" s="511"/>
      <c r="L435" s="511"/>
      <c r="M435" s="512"/>
    </row>
    <row r="436" spans="1:13" s="493" customFormat="1">
      <c r="A436" s="507"/>
      <c r="D436" s="507"/>
      <c r="J436" s="507"/>
      <c r="K436" s="511"/>
      <c r="L436" s="511"/>
      <c r="M436" s="512"/>
    </row>
    <row r="437" spans="1:13" s="493" customFormat="1">
      <c r="A437" s="507"/>
      <c r="D437" s="507"/>
      <c r="J437" s="507"/>
      <c r="K437" s="511"/>
      <c r="L437" s="511"/>
      <c r="M437" s="512"/>
    </row>
    <row r="438" spans="1:13" s="493" customFormat="1">
      <c r="A438" s="507"/>
      <c r="D438" s="507"/>
      <c r="J438" s="507"/>
      <c r="K438" s="511"/>
      <c r="L438" s="511"/>
      <c r="M438" s="512"/>
    </row>
    <row r="439" spans="1:13">
      <c r="B439" s="493"/>
      <c r="C439" s="493"/>
      <c r="D439" s="507"/>
      <c r="E439" s="493"/>
      <c r="F439" s="493"/>
      <c r="G439" s="493"/>
      <c r="H439" s="493"/>
      <c r="I439" s="493"/>
      <c r="J439" s="507"/>
      <c r="K439" s="511"/>
      <c r="L439" s="511"/>
      <c r="M439" s="512"/>
    </row>
    <row r="440" spans="1:13" s="493" customFormat="1">
      <c r="A440" s="507"/>
      <c r="D440" s="507"/>
      <c r="J440" s="507"/>
      <c r="K440" s="511"/>
      <c r="L440" s="511"/>
      <c r="M440" s="512"/>
    </row>
    <row r="441" spans="1:13" s="483" customFormat="1" ht="15.75">
      <c r="A441" s="507"/>
      <c r="B441" s="493"/>
      <c r="C441" s="493"/>
      <c r="D441" s="507"/>
      <c r="E441" s="493"/>
      <c r="F441" s="493"/>
      <c r="G441" s="493"/>
      <c r="H441" s="493"/>
      <c r="I441" s="493"/>
      <c r="J441" s="507"/>
      <c r="K441" s="511"/>
      <c r="L441" s="511"/>
      <c r="M441" s="512"/>
    </row>
    <row r="442" spans="1:13" s="493" customFormat="1">
      <c r="A442" s="507"/>
      <c r="D442" s="507"/>
      <c r="J442" s="507"/>
      <c r="K442" s="511"/>
      <c r="L442" s="511"/>
      <c r="M442" s="512"/>
    </row>
    <row r="443" spans="1:13" s="493" customFormat="1">
      <c r="A443" s="507"/>
      <c r="D443" s="507"/>
      <c r="J443" s="507"/>
      <c r="K443" s="511"/>
      <c r="L443" s="511"/>
      <c r="M443" s="512"/>
    </row>
    <row r="444" spans="1:13" s="493" customFormat="1">
      <c r="A444" s="507"/>
      <c r="D444" s="507"/>
      <c r="J444" s="507"/>
      <c r="K444" s="511"/>
      <c r="L444" s="511"/>
      <c r="M444" s="512"/>
    </row>
    <row r="445" spans="1:13" s="493" customFormat="1">
      <c r="A445" s="507"/>
      <c r="D445" s="507"/>
      <c r="J445" s="507"/>
      <c r="K445" s="511"/>
      <c r="L445" s="511"/>
      <c r="M445" s="512"/>
    </row>
    <row r="446" spans="1:13" s="493" customFormat="1">
      <c r="A446" s="507"/>
      <c r="D446" s="507"/>
      <c r="J446" s="507"/>
      <c r="K446" s="511"/>
      <c r="L446" s="511"/>
      <c r="M446" s="512"/>
    </row>
    <row r="447" spans="1:13" s="493" customFormat="1">
      <c r="A447" s="507"/>
      <c r="D447" s="507"/>
      <c r="J447" s="507"/>
      <c r="K447" s="511"/>
      <c r="L447" s="511"/>
      <c r="M447" s="512"/>
    </row>
    <row r="448" spans="1:13" s="493" customFormat="1">
      <c r="A448" s="507"/>
      <c r="D448" s="507"/>
      <c r="J448" s="507"/>
      <c r="K448" s="511"/>
      <c r="L448" s="511"/>
      <c r="M448" s="512"/>
    </row>
    <row r="449" spans="1:13" s="493" customFormat="1">
      <c r="A449" s="507"/>
      <c r="D449" s="507"/>
      <c r="J449" s="507"/>
      <c r="K449" s="511"/>
      <c r="L449" s="511"/>
      <c r="M449" s="512"/>
    </row>
    <row r="450" spans="1:13" s="493" customFormat="1">
      <c r="A450" s="507"/>
      <c r="D450" s="507"/>
      <c r="J450" s="507"/>
      <c r="K450" s="511"/>
      <c r="L450" s="511"/>
      <c r="M450" s="512"/>
    </row>
    <row r="451" spans="1:13" s="493" customFormat="1">
      <c r="A451" s="507"/>
      <c r="D451" s="507"/>
      <c r="J451" s="507"/>
      <c r="K451" s="511"/>
      <c r="L451" s="511"/>
      <c r="M451" s="512"/>
    </row>
    <row r="452" spans="1:13" s="493" customFormat="1">
      <c r="A452" s="507"/>
      <c r="D452" s="507"/>
      <c r="J452" s="507"/>
      <c r="K452" s="511"/>
      <c r="L452" s="511"/>
      <c r="M452" s="512"/>
    </row>
    <row r="453" spans="1:13" s="493" customFormat="1">
      <c r="A453" s="507"/>
      <c r="D453" s="507"/>
      <c r="J453" s="507"/>
      <c r="K453" s="511"/>
      <c r="L453" s="511"/>
      <c r="M453" s="512"/>
    </row>
    <row r="454" spans="1:13" s="493" customFormat="1">
      <c r="A454" s="507"/>
      <c r="D454" s="507"/>
      <c r="J454" s="507"/>
      <c r="K454" s="511"/>
      <c r="L454" s="511"/>
      <c r="M454" s="512"/>
    </row>
    <row r="455" spans="1:13" s="493" customFormat="1">
      <c r="A455" s="507"/>
      <c r="B455" s="481"/>
      <c r="C455" s="481"/>
      <c r="D455" s="508"/>
      <c r="E455" s="481"/>
      <c r="F455" s="481"/>
      <c r="G455" s="481"/>
      <c r="H455" s="481"/>
      <c r="I455" s="481"/>
      <c r="J455" s="508"/>
      <c r="K455" s="509"/>
      <c r="L455" s="509"/>
      <c r="M455" s="510"/>
    </row>
    <row r="456" spans="1:13" s="493" customFormat="1">
      <c r="A456" s="507"/>
      <c r="B456" s="481"/>
      <c r="C456" s="481"/>
      <c r="D456" s="508"/>
      <c r="E456" s="481"/>
      <c r="F456" s="481"/>
      <c r="G456" s="481"/>
      <c r="H456" s="481"/>
      <c r="I456" s="481"/>
      <c r="J456" s="508"/>
      <c r="K456" s="509"/>
      <c r="L456" s="509"/>
      <c r="M456" s="510"/>
    </row>
    <row r="457" spans="1:13" s="493" customFormat="1">
      <c r="A457" s="507"/>
      <c r="M457" s="546"/>
    </row>
    <row r="458" spans="1:13" s="493" customFormat="1">
      <c r="A458" s="507"/>
      <c r="M458" s="546"/>
    </row>
    <row r="459" spans="1:13" s="493" customFormat="1">
      <c r="A459" s="507"/>
      <c r="C459" s="514"/>
      <c r="D459" s="515"/>
      <c r="E459" s="516"/>
      <c r="F459" s="516"/>
      <c r="G459" s="516"/>
      <c r="H459" s="516"/>
      <c r="I459" s="516"/>
      <c r="J459" s="515"/>
      <c r="K459" s="517"/>
      <c r="L459" s="517"/>
      <c r="M459" s="518" t="s">
        <v>637</v>
      </c>
    </row>
    <row r="460" spans="1:13" s="493" customFormat="1">
      <c r="A460" s="507"/>
      <c r="D460" s="507"/>
      <c r="J460" s="507"/>
      <c r="K460" s="511"/>
      <c r="L460" s="511"/>
      <c r="M460" s="512"/>
    </row>
    <row r="461" spans="1:13" s="493" customFormat="1" ht="13.5" thickBot="1">
      <c r="A461" s="507"/>
      <c r="B461" s="547"/>
      <c r="C461" s="547"/>
      <c r="D461" s="548"/>
      <c r="E461" s="547"/>
      <c r="F461" s="547"/>
      <c r="G461" s="547"/>
      <c r="H461" s="547"/>
      <c r="I461" s="547"/>
      <c r="J461" s="548"/>
      <c r="K461" s="549"/>
      <c r="L461" s="549"/>
      <c r="M461" s="550"/>
    </row>
    <row r="462" spans="1:13" s="493" customFormat="1" ht="14.25" thickTop="1" thickBot="1">
      <c r="A462" s="548"/>
      <c r="D462" s="507"/>
      <c r="J462" s="507"/>
      <c r="K462" s="511"/>
      <c r="L462" s="511"/>
      <c r="M462" s="512"/>
    </row>
    <row r="463" spans="1:13" s="493" customFormat="1" ht="15.75" thickTop="1">
      <c r="A463" s="507"/>
      <c r="B463" s="494"/>
      <c r="C463" s="494"/>
      <c r="D463" s="495"/>
      <c r="E463" s="494"/>
      <c r="F463" s="494"/>
      <c r="G463" s="494"/>
      <c r="H463" s="494"/>
      <c r="I463" s="494"/>
      <c r="J463" s="495"/>
      <c r="K463" s="496"/>
      <c r="L463" s="496"/>
      <c r="M463" s="497"/>
    </row>
    <row r="464" spans="1:13" s="493" customFormat="1" ht="15.75">
      <c r="A464" s="482" t="s">
        <v>638</v>
      </c>
      <c r="D464" s="507"/>
      <c r="J464" s="507"/>
      <c r="K464" s="511"/>
      <c r="L464" s="511"/>
      <c r="M464" s="512"/>
    </row>
    <row r="465" spans="1:13" s="493" customFormat="1">
      <c r="A465" s="507"/>
      <c r="D465" s="507"/>
      <c r="J465" s="507"/>
      <c r="K465" s="511"/>
      <c r="L465" s="511"/>
      <c r="M465" s="512"/>
    </row>
    <row r="466" spans="1:13">
      <c r="B466" s="493"/>
      <c r="C466" s="493"/>
      <c r="D466" s="507"/>
      <c r="E466" s="493"/>
      <c r="F466" s="493"/>
      <c r="G466" s="493"/>
      <c r="H466" s="493"/>
      <c r="I466" s="493"/>
      <c r="J466" s="507"/>
      <c r="K466" s="511"/>
      <c r="L466" s="511"/>
      <c r="M466" s="512"/>
    </row>
    <row r="467" spans="1:13">
      <c r="B467" s="493"/>
      <c r="C467" s="493" t="s">
        <v>558</v>
      </c>
      <c r="D467" s="507"/>
      <c r="E467" s="493"/>
      <c r="F467" s="493"/>
      <c r="G467" s="493"/>
      <c r="H467" s="493"/>
      <c r="I467" s="493"/>
      <c r="J467" s="507"/>
      <c r="K467" s="511"/>
      <c r="L467" s="511"/>
      <c r="M467" s="512">
        <f>SUM(M336)</f>
        <v>0</v>
      </c>
    </row>
    <row r="468" spans="1:13">
      <c r="B468" s="493"/>
      <c r="C468" s="724" t="s">
        <v>820</v>
      </c>
      <c r="D468" s="507"/>
      <c r="E468" s="493"/>
      <c r="F468" s="493"/>
      <c r="G468" s="493"/>
      <c r="H468" s="493"/>
      <c r="I468" s="493"/>
      <c r="J468" s="507"/>
      <c r="K468" s="511"/>
      <c r="L468" s="511"/>
      <c r="M468" s="512">
        <f>M367</f>
        <v>0</v>
      </c>
    </row>
    <row r="469" spans="1:13">
      <c r="B469" s="493"/>
      <c r="C469" s="493"/>
      <c r="D469" s="507"/>
      <c r="E469" s="493"/>
      <c r="F469" s="493"/>
      <c r="G469" s="493"/>
      <c r="H469" s="493"/>
      <c r="I469" s="493"/>
      <c r="J469" s="507"/>
      <c r="K469" s="511"/>
      <c r="L469" s="511"/>
      <c r="M469" s="512"/>
    </row>
    <row r="470" spans="1:13">
      <c r="B470" s="493"/>
      <c r="C470" s="493"/>
      <c r="D470" s="507"/>
      <c r="E470" s="493"/>
      <c r="F470" s="493"/>
      <c r="G470" s="493"/>
      <c r="H470" s="493"/>
      <c r="I470" s="493"/>
      <c r="J470" s="507"/>
      <c r="K470" s="511"/>
      <c r="L470" s="511"/>
      <c r="M470" s="512"/>
    </row>
    <row r="471" spans="1:13">
      <c r="B471" s="493"/>
      <c r="C471" s="493"/>
      <c r="D471" s="507"/>
      <c r="E471" s="493"/>
      <c r="F471" s="493"/>
      <c r="G471" s="493"/>
      <c r="H471" s="493"/>
      <c r="I471" s="493"/>
      <c r="J471" s="507"/>
      <c r="K471" s="511"/>
      <c r="L471" s="511"/>
      <c r="M471" s="512"/>
    </row>
    <row r="472" spans="1:13">
      <c r="B472" s="493"/>
      <c r="C472" s="493"/>
      <c r="D472" s="507"/>
      <c r="E472" s="493"/>
      <c r="F472" s="493"/>
      <c r="G472" s="493"/>
      <c r="H472" s="493"/>
      <c r="I472" s="493"/>
      <c r="J472" s="507"/>
      <c r="K472" s="511"/>
      <c r="L472" s="511"/>
      <c r="M472" s="512"/>
    </row>
    <row r="474" spans="1:13" ht="13.5" thickTop="1">
      <c r="C474" s="528"/>
      <c r="D474" s="529"/>
      <c r="E474" s="528"/>
      <c r="F474" s="528"/>
      <c r="G474" s="528"/>
      <c r="H474" s="528"/>
      <c r="I474" s="528"/>
      <c r="J474" s="529"/>
      <c r="K474" s="530"/>
      <c r="L474" s="530"/>
      <c r="M474" s="531"/>
    </row>
    <row r="475" spans="1:13">
      <c r="B475" s="493"/>
      <c r="C475" s="493" t="s">
        <v>198</v>
      </c>
      <c r="D475" s="507"/>
      <c r="E475" s="493"/>
      <c r="F475" s="493"/>
      <c r="G475" s="493"/>
      <c r="H475" s="493"/>
      <c r="I475" s="493"/>
      <c r="J475" s="507"/>
      <c r="K475" s="511"/>
      <c r="L475" s="511"/>
      <c r="M475" s="512">
        <f>SUM(M467:M469)</f>
        <v>0</v>
      </c>
    </row>
    <row r="476" spans="1:13">
      <c r="B476" s="493"/>
      <c r="C476" s="493"/>
      <c r="D476" s="507"/>
      <c r="E476" s="493"/>
      <c r="F476" s="493"/>
      <c r="G476" s="493"/>
      <c r="H476" s="493"/>
      <c r="I476" s="493"/>
      <c r="J476" s="507"/>
      <c r="K476" s="511"/>
      <c r="L476" s="511"/>
      <c r="M476" s="512"/>
    </row>
    <row r="478" spans="1:13" ht="13.5" thickBot="1">
      <c r="B478" s="493"/>
      <c r="C478" s="493"/>
      <c r="D478" s="507"/>
      <c r="E478" s="493"/>
      <c r="F478" s="493"/>
      <c r="G478" s="493"/>
      <c r="H478" s="493"/>
      <c r="I478" s="493"/>
      <c r="J478" s="507"/>
      <c r="K478" s="511"/>
      <c r="L478" s="511"/>
      <c r="M478" s="512"/>
    </row>
    <row r="479" spans="1:13" ht="16.5" thickBot="1">
      <c r="B479" s="483"/>
      <c r="C479" s="488" t="s">
        <v>493</v>
      </c>
      <c r="D479" s="489"/>
      <c r="E479" s="490"/>
      <c r="F479" s="490"/>
      <c r="G479" s="490"/>
      <c r="H479" s="490"/>
      <c r="I479" s="490"/>
      <c r="J479" s="489"/>
      <c r="K479" s="491"/>
      <c r="L479" s="491"/>
      <c r="M479" s="492">
        <f>SUM(M474:M477)</f>
        <v>0</v>
      </c>
    </row>
    <row r="480" spans="1:13" ht="15.75">
      <c r="A480" s="482"/>
      <c r="B480" s="493"/>
      <c r="C480" s="493"/>
      <c r="D480" s="507"/>
      <c r="E480" s="493"/>
      <c r="F480" s="493"/>
      <c r="G480" s="493"/>
      <c r="H480" s="493"/>
      <c r="I480" s="493"/>
      <c r="J480" s="507"/>
      <c r="K480" s="511"/>
      <c r="L480" s="511"/>
      <c r="M480" s="512"/>
    </row>
    <row r="481" spans="2:13">
      <c r="B481" s="493"/>
      <c r="C481" s="493"/>
      <c r="D481" s="507"/>
      <c r="E481" s="493"/>
      <c r="F481" s="493"/>
      <c r="G481" s="493"/>
      <c r="H481" s="493"/>
      <c r="I481" s="493"/>
      <c r="J481" s="507"/>
      <c r="K481" s="511"/>
      <c r="L481" s="511"/>
      <c r="M481" s="512"/>
    </row>
    <row r="482" spans="2:13">
      <c r="B482" s="493"/>
      <c r="C482" s="493"/>
      <c r="D482" s="507"/>
      <c r="E482" s="493"/>
      <c r="F482" s="493"/>
      <c r="G482" s="493"/>
      <c r="H482" s="493"/>
      <c r="I482" s="493"/>
      <c r="J482" s="507"/>
      <c r="K482" s="511"/>
      <c r="L482" s="511"/>
      <c r="M482" s="512"/>
    </row>
    <row r="483" spans="2:13">
      <c r="B483" s="493"/>
      <c r="C483" s="493"/>
      <c r="D483" s="507"/>
      <c r="E483" s="493"/>
      <c r="F483" s="493"/>
      <c r="G483" s="493"/>
      <c r="H483" s="493"/>
      <c r="I483" s="493"/>
      <c r="J483" s="507"/>
      <c r="K483" s="511"/>
      <c r="L483" s="511"/>
      <c r="M483" s="512"/>
    </row>
    <row r="484" spans="2:13">
      <c r="B484" s="493"/>
      <c r="C484" s="493"/>
      <c r="D484" s="507"/>
      <c r="E484" s="493"/>
      <c r="F484" s="493"/>
      <c r="G484" s="493"/>
      <c r="H484" s="493"/>
      <c r="I484" s="493"/>
      <c r="J484" s="507"/>
      <c r="K484" s="511"/>
      <c r="L484" s="511"/>
      <c r="M484" s="512"/>
    </row>
    <row r="485" spans="2:13">
      <c r="B485" s="493"/>
      <c r="C485" s="493"/>
      <c r="D485" s="507"/>
      <c r="E485" s="493"/>
      <c r="F485" s="493"/>
      <c r="G485" s="493"/>
      <c r="H485" s="493"/>
      <c r="I485" s="493"/>
      <c r="J485" s="507"/>
      <c r="K485" s="511"/>
      <c r="L485" s="511"/>
      <c r="M485" s="512"/>
    </row>
    <row r="486" spans="2:13">
      <c r="B486" s="493"/>
      <c r="C486" s="493"/>
      <c r="D486" s="507"/>
      <c r="E486" s="493"/>
      <c r="F486" s="493"/>
      <c r="G486" s="493"/>
      <c r="H486" s="493"/>
      <c r="I486" s="493"/>
      <c r="J486" s="507"/>
      <c r="K486" s="511"/>
      <c r="L486" s="511"/>
      <c r="M486" s="512"/>
    </row>
    <row r="487" spans="2:13">
      <c r="B487" s="493"/>
      <c r="C487" s="493"/>
      <c r="D487" s="507"/>
      <c r="E487" s="493"/>
      <c r="F487" s="493"/>
      <c r="G487" s="493"/>
      <c r="H487" s="493"/>
      <c r="I487" s="493"/>
      <c r="J487" s="507"/>
      <c r="K487" s="511"/>
      <c r="L487" s="511"/>
      <c r="M487" s="512"/>
    </row>
    <row r="488" spans="2:13">
      <c r="B488" s="493"/>
      <c r="C488" s="493"/>
      <c r="D488" s="507"/>
      <c r="E488" s="493"/>
      <c r="F488" s="493"/>
      <c r="G488" s="493"/>
      <c r="H488" s="493"/>
      <c r="I488" s="493"/>
      <c r="J488" s="507"/>
      <c r="K488" s="511"/>
      <c r="L488" s="511"/>
      <c r="M488" s="512"/>
    </row>
    <row r="489" spans="2:13">
      <c r="B489" s="493"/>
      <c r="C489" s="493"/>
      <c r="D489" s="507"/>
      <c r="E489" s="493"/>
      <c r="F489" s="493"/>
      <c r="G489" s="493"/>
      <c r="H489" s="493"/>
      <c r="I489" s="493"/>
      <c r="J489" s="507"/>
      <c r="K489" s="511"/>
      <c r="L489" s="511"/>
      <c r="M489" s="512"/>
    </row>
    <row r="490" spans="2:13">
      <c r="B490" s="493"/>
      <c r="C490" s="493"/>
      <c r="D490" s="507"/>
      <c r="E490" s="493"/>
      <c r="F490" s="493"/>
      <c r="G490" s="493"/>
      <c r="H490" s="493"/>
      <c r="I490" s="493"/>
      <c r="J490" s="507"/>
      <c r="K490" s="511"/>
      <c r="L490" s="511"/>
      <c r="M490" s="512"/>
    </row>
    <row r="491" spans="2:13">
      <c r="B491" s="493"/>
      <c r="C491" s="493"/>
      <c r="D491" s="507"/>
      <c r="E491" s="493"/>
      <c r="F491" s="493"/>
      <c r="G491" s="493"/>
      <c r="H491" s="493"/>
      <c r="I491" s="493"/>
      <c r="J491" s="507"/>
      <c r="K491" s="511"/>
      <c r="L491" s="511"/>
      <c r="M491" s="512"/>
    </row>
    <row r="492" spans="2:13">
      <c r="B492" s="493"/>
      <c r="C492" s="493"/>
      <c r="D492" s="507"/>
      <c r="E492" s="493"/>
      <c r="F492" s="493"/>
      <c r="G492" s="493"/>
      <c r="H492" s="493"/>
      <c r="I492" s="493"/>
      <c r="J492" s="507"/>
      <c r="K492" s="511"/>
      <c r="L492" s="511"/>
      <c r="M492" s="512"/>
    </row>
    <row r="493" spans="2:13">
      <c r="B493" s="493"/>
      <c r="C493" s="493"/>
      <c r="D493" s="507"/>
      <c r="E493" s="493"/>
      <c r="F493" s="493"/>
      <c r="G493" s="493"/>
      <c r="H493" s="493"/>
      <c r="I493" s="493"/>
      <c r="J493" s="507"/>
      <c r="K493" s="511"/>
      <c r="L493" s="511"/>
      <c r="M493" s="512"/>
    </row>
    <row r="494" spans="2:13">
      <c r="B494" s="493"/>
      <c r="C494" s="493"/>
      <c r="D494" s="507"/>
      <c r="E494" s="493"/>
      <c r="F494" s="493"/>
      <c r="G494" s="493"/>
      <c r="H494" s="493"/>
      <c r="I494" s="493"/>
      <c r="J494" s="507"/>
      <c r="K494" s="511"/>
      <c r="L494" s="511"/>
      <c r="M494" s="512"/>
    </row>
    <row r="495" spans="2:13">
      <c r="B495" s="493"/>
      <c r="C495" s="493"/>
      <c r="D495" s="507"/>
      <c r="E495" s="493"/>
      <c r="F495" s="493"/>
      <c r="G495" s="493"/>
      <c r="H495" s="493"/>
      <c r="I495" s="493"/>
      <c r="J495" s="507"/>
      <c r="K495" s="511"/>
      <c r="L495" s="511"/>
      <c r="M495" s="512"/>
    </row>
    <row r="496" spans="2:13">
      <c r="B496" s="493"/>
      <c r="C496" s="493"/>
      <c r="D496" s="507"/>
      <c r="E496" s="493"/>
      <c r="F496" s="493"/>
      <c r="G496" s="493"/>
      <c r="H496" s="493"/>
      <c r="I496" s="493"/>
      <c r="J496" s="507"/>
      <c r="K496" s="511"/>
      <c r="L496" s="511"/>
      <c r="M496" s="512"/>
    </row>
    <row r="497" spans="1:13">
      <c r="B497" s="493"/>
      <c r="C497" s="493"/>
      <c r="D497" s="507"/>
      <c r="E497" s="493"/>
      <c r="F497" s="493"/>
      <c r="G497" s="493"/>
      <c r="H497" s="493"/>
      <c r="I497" s="493"/>
      <c r="J497" s="507"/>
      <c r="K497" s="511"/>
      <c r="L497" s="511"/>
      <c r="M497" s="512"/>
    </row>
    <row r="498" spans="1:13">
      <c r="B498" s="493"/>
      <c r="C498" s="493"/>
      <c r="D498" s="507"/>
      <c r="E498" s="493"/>
      <c r="F498" s="493"/>
      <c r="G498" s="493"/>
      <c r="H498" s="493"/>
      <c r="I498" s="493"/>
      <c r="J498" s="507"/>
      <c r="K498" s="511"/>
      <c r="L498" s="511"/>
      <c r="M498" s="512"/>
    </row>
    <row r="499" spans="1:13">
      <c r="B499" s="493"/>
      <c r="C499" s="493"/>
      <c r="D499" s="507"/>
      <c r="E499" s="493"/>
      <c r="F499" s="493"/>
      <c r="G499" s="493"/>
      <c r="H499" s="493"/>
      <c r="I499" s="493"/>
      <c r="J499" s="507"/>
      <c r="K499" s="511"/>
      <c r="L499" s="511"/>
      <c r="M499" s="512"/>
    </row>
    <row r="500" spans="1:13">
      <c r="B500" s="493"/>
      <c r="C500" s="493"/>
      <c r="D500" s="507"/>
      <c r="E500" s="493"/>
      <c r="F500" s="493"/>
      <c r="G500" s="493"/>
      <c r="H500" s="493"/>
      <c r="I500" s="493"/>
      <c r="J500" s="507"/>
      <c r="K500" s="511"/>
      <c r="L500" s="511"/>
      <c r="M500" s="512"/>
    </row>
    <row r="501" spans="1:13">
      <c r="B501" s="493"/>
      <c r="C501" s="493"/>
      <c r="D501" s="507"/>
      <c r="E501" s="493"/>
      <c r="F501" s="493"/>
      <c r="G501" s="493"/>
      <c r="H501" s="493"/>
      <c r="I501" s="493"/>
      <c r="J501" s="507"/>
      <c r="K501" s="511"/>
      <c r="L501" s="511"/>
      <c r="M501" s="512"/>
    </row>
    <row r="502" spans="1:13">
      <c r="B502" s="493"/>
      <c r="C502" s="493"/>
      <c r="D502" s="507"/>
      <c r="E502" s="493"/>
      <c r="F502" s="493"/>
      <c r="G502" s="493"/>
      <c r="H502" s="493"/>
      <c r="I502" s="493"/>
      <c r="J502" s="507"/>
      <c r="K502" s="511"/>
      <c r="L502" s="511"/>
      <c r="M502" s="512"/>
    </row>
    <row r="503" spans="1:13">
      <c r="B503" s="493"/>
      <c r="C503" s="493"/>
      <c r="D503" s="507"/>
      <c r="E503" s="493"/>
      <c r="F503" s="493"/>
      <c r="G503" s="493"/>
      <c r="H503" s="493"/>
      <c r="I503" s="493"/>
      <c r="J503" s="507"/>
      <c r="K503" s="511"/>
      <c r="L503" s="511"/>
      <c r="M503" s="512"/>
    </row>
    <row r="504" spans="1:13" s="493" customFormat="1">
      <c r="A504" s="507"/>
      <c r="M504" s="546"/>
    </row>
    <row r="505" spans="1:13" s="493" customFormat="1">
      <c r="A505" s="507"/>
      <c r="C505" s="514"/>
      <c r="D505" s="515"/>
      <c r="E505" s="516"/>
      <c r="F505" s="516"/>
      <c r="G505" s="516"/>
      <c r="H505" s="516"/>
      <c r="I505" s="516"/>
      <c r="J505" s="515"/>
      <c r="K505" s="517"/>
      <c r="L505" s="517"/>
      <c r="M505" s="518" t="s">
        <v>639</v>
      </c>
    </row>
  </sheetData>
  <sheetProtection selectLockedCells="1" selectUnlockedCells="1"/>
  <pageMargins left="0.70866141732283472" right="0.70866141732283472" top="0.74803149606299213" bottom="0.74803149606299213" header="0.31496062992125984" footer="0.31496062992125984"/>
  <pageSetup paperSize="9" firstPageNumber="5" orientation="portrait" r:id="rId1"/>
  <headerFooter>
    <oddHeader>&amp;CProjekt Dolenje in Gorenje Ponikve:
Kanalizacija, rekonstrukcija vodovoda in pločnik med naseljema</oddHeader>
    <oddFooter>&amp;R&amp;P/&amp;N</oddFooter>
  </headerFooter>
  <rowBreaks count="8" manualBreakCount="8">
    <brk id="48" max="12" man="1"/>
    <brk id="100" max="12" man="1"/>
    <brk id="139" max="12" man="1"/>
    <brk id="179" max="12" man="1"/>
    <brk id="234" max="12" man="1"/>
    <brk id="352" max="12" man="1"/>
    <brk id="410" max="12" man="1"/>
    <brk id="461" max="12"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G229"/>
  <sheetViews>
    <sheetView view="pageBreakPreview" topLeftCell="A85" zoomScale="150" zoomScaleNormal="150" zoomScaleSheetLayoutView="150" workbookViewId="0">
      <selection activeCell="G39" sqref="G39"/>
    </sheetView>
  </sheetViews>
  <sheetFormatPr defaultColWidth="9" defaultRowHeight="15"/>
  <cols>
    <col min="1" max="1" width="4.42578125" style="551" customWidth="1"/>
    <col min="2" max="2" width="24.28515625" style="551" customWidth="1"/>
    <col min="3" max="3" width="19" style="551" customWidth="1"/>
    <col min="4" max="4" width="7.5703125" style="551" customWidth="1"/>
    <col min="5" max="5" width="4.5703125" style="559" customWidth="1"/>
    <col min="6" max="6" width="13" style="589" customWidth="1"/>
    <col min="7" max="7" width="15.85546875" style="589" customWidth="1"/>
    <col min="8" max="256" width="9" style="552"/>
    <col min="257" max="257" width="4.42578125" style="552" customWidth="1"/>
    <col min="258" max="258" width="24.28515625" style="552" customWidth="1"/>
    <col min="259" max="259" width="19" style="552" customWidth="1"/>
    <col min="260" max="260" width="7.5703125" style="552" customWidth="1"/>
    <col min="261" max="261" width="4.5703125" style="552" customWidth="1"/>
    <col min="262" max="262" width="13" style="552" customWidth="1"/>
    <col min="263" max="263" width="15.85546875" style="552" customWidth="1"/>
    <col min="264" max="512" width="9" style="552"/>
    <col min="513" max="513" width="4.42578125" style="552" customWidth="1"/>
    <col min="514" max="514" width="24.28515625" style="552" customWidth="1"/>
    <col min="515" max="515" width="19" style="552" customWidth="1"/>
    <col min="516" max="516" width="7.5703125" style="552" customWidth="1"/>
    <col min="517" max="517" width="4.5703125" style="552" customWidth="1"/>
    <col min="518" max="518" width="13" style="552" customWidth="1"/>
    <col min="519" max="519" width="15.85546875" style="552" customWidth="1"/>
    <col min="520" max="768" width="9" style="552"/>
    <col min="769" max="769" width="4.42578125" style="552" customWidth="1"/>
    <col min="770" max="770" width="24.28515625" style="552" customWidth="1"/>
    <col min="771" max="771" width="19" style="552" customWidth="1"/>
    <col min="772" max="772" width="7.5703125" style="552" customWidth="1"/>
    <col min="773" max="773" width="4.5703125" style="552" customWidth="1"/>
    <col min="774" max="774" width="13" style="552" customWidth="1"/>
    <col min="775" max="775" width="15.85546875" style="552" customWidth="1"/>
    <col min="776" max="1024" width="9" style="552"/>
    <col min="1025" max="1025" width="4.42578125" style="552" customWidth="1"/>
    <col min="1026" max="1026" width="24.28515625" style="552" customWidth="1"/>
    <col min="1027" max="1027" width="19" style="552" customWidth="1"/>
    <col min="1028" max="1028" width="7.5703125" style="552" customWidth="1"/>
    <col min="1029" max="1029" width="4.5703125" style="552" customWidth="1"/>
    <col min="1030" max="1030" width="13" style="552" customWidth="1"/>
    <col min="1031" max="1031" width="15.85546875" style="552" customWidth="1"/>
    <col min="1032" max="1280" width="9" style="552"/>
    <col min="1281" max="1281" width="4.42578125" style="552" customWidth="1"/>
    <col min="1282" max="1282" width="24.28515625" style="552" customWidth="1"/>
    <col min="1283" max="1283" width="19" style="552" customWidth="1"/>
    <col min="1284" max="1284" width="7.5703125" style="552" customWidth="1"/>
    <col min="1285" max="1285" width="4.5703125" style="552" customWidth="1"/>
    <col min="1286" max="1286" width="13" style="552" customWidth="1"/>
    <col min="1287" max="1287" width="15.85546875" style="552" customWidth="1"/>
    <col min="1288" max="1536" width="9" style="552"/>
    <col min="1537" max="1537" width="4.42578125" style="552" customWidth="1"/>
    <col min="1538" max="1538" width="24.28515625" style="552" customWidth="1"/>
    <col min="1539" max="1539" width="19" style="552" customWidth="1"/>
    <col min="1540" max="1540" width="7.5703125" style="552" customWidth="1"/>
    <col min="1541" max="1541" width="4.5703125" style="552" customWidth="1"/>
    <col min="1542" max="1542" width="13" style="552" customWidth="1"/>
    <col min="1543" max="1543" width="15.85546875" style="552" customWidth="1"/>
    <col min="1544" max="1792" width="9" style="552"/>
    <col min="1793" max="1793" width="4.42578125" style="552" customWidth="1"/>
    <col min="1794" max="1794" width="24.28515625" style="552" customWidth="1"/>
    <col min="1795" max="1795" width="19" style="552" customWidth="1"/>
    <col min="1796" max="1796" width="7.5703125" style="552" customWidth="1"/>
    <col min="1797" max="1797" width="4.5703125" style="552" customWidth="1"/>
    <col min="1798" max="1798" width="13" style="552" customWidth="1"/>
    <col min="1799" max="1799" width="15.85546875" style="552" customWidth="1"/>
    <col min="1800" max="2048" width="9" style="552"/>
    <col min="2049" max="2049" width="4.42578125" style="552" customWidth="1"/>
    <col min="2050" max="2050" width="24.28515625" style="552" customWidth="1"/>
    <col min="2051" max="2051" width="19" style="552" customWidth="1"/>
    <col min="2052" max="2052" width="7.5703125" style="552" customWidth="1"/>
    <col min="2053" max="2053" width="4.5703125" style="552" customWidth="1"/>
    <col min="2054" max="2054" width="13" style="552" customWidth="1"/>
    <col min="2055" max="2055" width="15.85546875" style="552" customWidth="1"/>
    <col min="2056" max="2304" width="9" style="552"/>
    <col min="2305" max="2305" width="4.42578125" style="552" customWidth="1"/>
    <col min="2306" max="2306" width="24.28515625" style="552" customWidth="1"/>
    <col min="2307" max="2307" width="19" style="552" customWidth="1"/>
    <col min="2308" max="2308" width="7.5703125" style="552" customWidth="1"/>
    <col min="2309" max="2309" width="4.5703125" style="552" customWidth="1"/>
    <col min="2310" max="2310" width="13" style="552" customWidth="1"/>
    <col min="2311" max="2311" width="15.85546875" style="552" customWidth="1"/>
    <col min="2312" max="2560" width="9" style="552"/>
    <col min="2561" max="2561" width="4.42578125" style="552" customWidth="1"/>
    <col min="2562" max="2562" width="24.28515625" style="552" customWidth="1"/>
    <col min="2563" max="2563" width="19" style="552" customWidth="1"/>
    <col min="2564" max="2564" width="7.5703125" style="552" customWidth="1"/>
    <col min="2565" max="2565" width="4.5703125" style="552" customWidth="1"/>
    <col min="2566" max="2566" width="13" style="552" customWidth="1"/>
    <col min="2567" max="2567" width="15.85546875" style="552" customWidth="1"/>
    <col min="2568" max="2816" width="9" style="552"/>
    <col min="2817" max="2817" width="4.42578125" style="552" customWidth="1"/>
    <col min="2818" max="2818" width="24.28515625" style="552" customWidth="1"/>
    <col min="2819" max="2819" width="19" style="552" customWidth="1"/>
    <col min="2820" max="2820" width="7.5703125" style="552" customWidth="1"/>
    <col min="2821" max="2821" width="4.5703125" style="552" customWidth="1"/>
    <col min="2822" max="2822" width="13" style="552" customWidth="1"/>
    <col min="2823" max="2823" width="15.85546875" style="552" customWidth="1"/>
    <col min="2824" max="3072" width="9" style="552"/>
    <col min="3073" max="3073" width="4.42578125" style="552" customWidth="1"/>
    <col min="3074" max="3074" width="24.28515625" style="552" customWidth="1"/>
    <col min="3075" max="3075" width="19" style="552" customWidth="1"/>
    <col min="3076" max="3076" width="7.5703125" style="552" customWidth="1"/>
    <col min="3077" max="3077" width="4.5703125" style="552" customWidth="1"/>
    <col min="3078" max="3078" width="13" style="552" customWidth="1"/>
    <col min="3079" max="3079" width="15.85546875" style="552" customWidth="1"/>
    <col min="3080" max="3328" width="9" style="552"/>
    <col min="3329" max="3329" width="4.42578125" style="552" customWidth="1"/>
    <col min="3330" max="3330" width="24.28515625" style="552" customWidth="1"/>
    <col min="3331" max="3331" width="19" style="552" customWidth="1"/>
    <col min="3332" max="3332" width="7.5703125" style="552" customWidth="1"/>
    <col min="3333" max="3333" width="4.5703125" style="552" customWidth="1"/>
    <col min="3334" max="3334" width="13" style="552" customWidth="1"/>
    <col min="3335" max="3335" width="15.85546875" style="552" customWidth="1"/>
    <col min="3336" max="3584" width="9" style="552"/>
    <col min="3585" max="3585" width="4.42578125" style="552" customWidth="1"/>
    <col min="3586" max="3586" width="24.28515625" style="552" customWidth="1"/>
    <col min="3587" max="3587" width="19" style="552" customWidth="1"/>
    <col min="3588" max="3588" width="7.5703125" style="552" customWidth="1"/>
    <col min="3589" max="3589" width="4.5703125" style="552" customWidth="1"/>
    <col min="3590" max="3590" width="13" style="552" customWidth="1"/>
    <col min="3591" max="3591" width="15.85546875" style="552" customWidth="1"/>
    <col min="3592" max="3840" width="9" style="552"/>
    <col min="3841" max="3841" width="4.42578125" style="552" customWidth="1"/>
    <col min="3842" max="3842" width="24.28515625" style="552" customWidth="1"/>
    <col min="3843" max="3843" width="19" style="552" customWidth="1"/>
    <col min="3844" max="3844" width="7.5703125" style="552" customWidth="1"/>
    <col min="3845" max="3845" width="4.5703125" style="552" customWidth="1"/>
    <col min="3846" max="3846" width="13" style="552" customWidth="1"/>
    <col min="3847" max="3847" width="15.85546875" style="552" customWidth="1"/>
    <col min="3848" max="4096" width="9" style="552"/>
    <col min="4097" max="4097" width="4.42578125" style="552" customWidth="1"/>
    <col min="4098" max="4098" width="24.28515625" style="552" customWidth="1"/>
    <col min="4099" max="4099" width="19" style="552" customWidth="1"/>
    <col min="4100" max="4100" width="7.5703125" style="552" customWidth="1"/>
    <col min="4101" max="4101" width="4.5703125" style="552" customWidth="1"/>
    <col min="4102" max="4102" width="13" style="552" customWidth="1"/>
    <col min="4103" max="4103" width="15.85546875" style="552" customWidth="1"/>
    <col min="4104" max="4352" width="9" style="552"/>
    <col min="4353" max="4353" width="4.42578125" style="552" customWidth="1"/>
    <col min="4354" max="4354" width="24.28515625" style="552" customWidth="1"/>
    <col min="4355" max="4355" width="19" style="552" customWidth="1"/>
    <col min="4356" max="4356" width="7.5703125" style="552" customWidth="1"/>
    <col min="4357" max="4357" width="4.5703125" style="552" customWidth="1"/>
    <col min="4358" max="4358" width="13" style="552" customWidth="1"/>
    <col min="4359" max="4359" width="15.85546875" style="552" customWidth="1"/>
    <col min="4360" max="4608" width="9" style="552"/>
    <col min="4609" max="4609" width="4.42578125" style="552" customWidth="1"/>
    <col min="4610" max="4610" width="24.28515625" style="552" customWidth="1"/>
    <col min="4611" max="4611" width="19" style="552" customWidth="1"/>
    <col min="4612" max="4612" width="7.5703125" style="552" customWidth="1"/>
    <col min="4613" max="4613" width="4.5703125" style="552" customWidth="1"/>
    <col min="4614" max="4614" width="13" style="552" customWidth="1"/>
    <col min="4615" max="4615" width="15.85546875" style="552" customWidth="1"/>
    <col min="4616" max="4864" width="9" style="552"/>
    <col min="4865" max="4865" width="4.42578125" style="552" customWidth="1"/>
    <col min="4866" max="4866" width="24.28515625" style="552" customWidth="1"/>
    <col min="4867" max="4867" width="19" style="552" customWidth="1"/>
    <col min="4868" max="4868" width="7.5703125" style="552" customWidth="1"/>
    <col min="4869" max="4869" width="4.5703125" style="552" customWidth="1"/>
    <col min="4870" max="4870" width="13" style="552" customWidth="1"/>
    <col min="4871" max="4871" width="15.85546875" style="552" customWidth="1"/>
    <col min="4872" max="5120" width="9" style="552"/>
    <col min="5121" max="5121" width="4.42578125" style="552" customWidth="1"/>
    <col min="5122" max="5122" width="24.28515625" style="552" customWidth="1"/>
    <col min="5123" max="5123" width="19" style="552" customWidth="1"/>
    <col min="5124" max="5124" width="7.5703125" style="552" customWidth="1"/>
    <col min="5125" max="5125" width="4.5703125" style="552" customWidth="1"/>
    <col min="5126" max="5126" width="13" style="552" customWidth="1"/>
    <col min="5127" max="5127" width="15.85546875" style="552" customWidth="1"/>
    <col min="5128" max="5376" width="9" style="552"/>
    <col min="5377" max="5377" width="4.42578125" style="552" customWidth="1"/>
    <col min="5378" max="5378" width="24.28515625" style="552" customWidth="1"/>
    <col min="5379" max="5379" width="19" style="552" customWidth="1"/>
    <col min="5380" max="5380" width="7.5703125" style="552" customWidth="1"/>
    <col min="5381" max="5381" width="4.5703125" style="552" customWidth="1"/>
    <col min="5382" max="5382" width="13" style="552" customWidth="1"/>
    <col min="5383" max="5383" width="15.85546875" style="552" customWidth="1"/>
    <col min="5384" max="5632" width="9" style="552"/>
    <col min="5633" max="5633" width="4.42578125" style="552" customWidth="1"/>
    <col min="5634" max="5634" width="24.28515625" style="552" customWidth="1"/>
    <col min="5635" max="5635" width="19" style="552" customWidth="1"/>
    <col min="5636" max="5636" width="7.5703125" style="552" customWidth="1"/>
    <col min="5637" max="5637" width="4.5703125" style="552" customWidth="1"/>
    <col min="5638" max="5638" width="13" style="552" customWidth="1"/>
    <col min="5639" max="5639" width="15.85546875" style="552" customWidth="1"/>
    <col min="5640" max="5888" width="9" style="552"/>
    <col min="5889" max="5889" width="4.42578125" style="552" customWidth="1"/>
    <col min="5890" max="5890" width="24.28515625" style="552" customWidth="1"/>
    <col min="5891" max="5891" width="19" style="552" customWidth="1"/>
    <col min="5892" max="5892" width="7.5703125" style="552" customWidth="1"/>
    <col min="5893" max="5893" width="4.5703125" style="552" customWidth="1"/>
    <col min="5894" max="5894" width="13" style="552" customWidth="1"/>
    <col min="5895" max="5895" width="15.85546875" style="552" customWidth="1"/>
    <col min="5896" max="6144" width="9" style="552"/>
    <col min="6145" max="6145" width="4.42578125" style="552" customWidth="1"/>
    <col min="6146" max="6146" width="24.28515625" style="552" customWidth="1"/>
    <col min="6147" max="6147" width="19" style="552" customWidth="1"/>
    <col min="6148" max="6148" width="7.5703125" style="552" customWidth="1"/>
    <col min="6149" max="6149" width="4.5703125" style="552" customWidth="1"/>
    <col min="6150" max="6150" width="13" style="552" customWidth="1"/>
    <col min="6151" max="6151" width="15.85546875" style="552" customWidth="1"/>
    <col min="6152" max="6400" width="9" style="552"/>
    <col min="6401" max="6401" width="4.42578125" style="552" customWidth="1"/>
    <col min="6402" max="6402" width="24.28515625" style="552" customWidth="1"/>
    <col min="6403" max="6403" width="19" style="552" customWidth="1"/>
    <col min="6404" max="6404" width="7.5703125" style="552" customWidth="1"/>
    <col min="6405" max="6405" width="4.5703125" style="552" customWidth="1"/>
    <col min="6406" max="6406" width="13" style="552" customWidth="1"/>
    <col min="6407" max="6407" width="15.85546875" style="552" customWidth="1"/>
    <col min="6408" max="6656" width="9" style="552"/>
    <col min="6657" max="6657" width="4.42578125" style="552" customWidth="1"/>
    <col min="6658" max="6658" width="24.28515625" style="552" customWidth="1"/>
    <col min="6659" max="6659" width="19" style="552" customWidth="1"/>
    <col min="6660" max="6660" width="7.5703125" style="552" customWidth="1"/>
    <col min="6661" max="6661" width="4.5703125" style="552" customWidth="1"/>
    <col min="6662" max="6662" width="13" style="552" customWidth="1"/>
    <col min="6663" max="6663" width="15.85546875" style="552" customWidth="1"/>
    <col min="6664" max="6912" width="9" style="552"/>
    <col min="6913" max="6913" width="4.42578125" style="552" customWidth="1"/>
    <col min="6914" max="6914" width="24.28515625" style="552" customWidth="1"/>
    <col min="6915" max="6915" width="19" style="552" customWidth="1"/>
    <col min="6916" max="6916" width="7.5703125" style="552" customWidth="1"/>
    <col min="6917" max="6917" width="4.5703125" style="552" customWidth="1"/>
    <col min="6918" max="6918" width="13" style="552" customWidth="1"/>
    <col min="6919" max="6919" width="15.85546875" style="552" customWidth="1"/>
    <col min="6920" max="7168" width="9" style="552"/>
    <col min="7169" max="7169" width="4.42578125" style="552" customWidth="1"/>
    <col min="7170" max="7170" width="24.28515625" style="552" customWidth="1"/>
    <col min="7171" max="7171" width="19" style="552" customWidth="1"/>
    <col min="7172" max="7172" width="7.5703125" style="552" customWidth="1"/>
    <col min="7173" max="7173" width="4.5703125" style="552" customWidth="1"/>
    <col min="7174" max="7174" width="13" style="552" customWidth="1"/>
    <col min="7175" max="7175" width="15.85546875" style="552" customWidth="1"/>
    <col min="7176" max="7424" width="9" style="552"/>
    <col min="7425" max="7425" width="4.42578125" style="552" customWidth="1"/>
    <col min="7426" max="7426" width="24.28515625" style="552" customWidth="1"/>
    <col min="7427" max="7427" width="19" style="552" customWidth="1"/>
    <col min="7428" max="7428" width="7.5703125" style="552" customWidth="1"/>
    <col min="7429" max="7429" width="4.5703125" style="552" customWidth="1"/>
    <col min="7430" max="7430" width="13" style="552" customWidth="1"/>
    <col min="7431" max="7431" width="15.85546875" style="552" customWidth="1"/>
    <col min="7432" max="7680" width="9" style="552"/>
    <col min="7681" max="7681" width="4.42578125" style="552" customWidth="1"/>
    <col min="7682" max="7682" width="24.28515625" style="552" customWidth="1"/>
    <col min="7683" max="7683" width="19" style="552" customWidth="1"/>
    <col min="7684" max="7684" width="7.5703125" style="552" customWidth="1"/>
    <col min="7685" max="7685" width="4.5703125" style="552" customWidth="1"/>
    <col min="7686" max="7686" width="13" style="552" customWidth="1"/>
    <col min="7687" max="7687" width="15.85546875" style="552" customWidth="1"/>
    <col min="7688" max="7936" width="9" style="552"/>
    <col min="7937" max="7937" width="4.42578125" style="552" customWidth="1"/>
    <col min="7938" max="7938" width="24.28515625" style="552" customWidth="1"/>
    <col min="7939" max="7939" width="19" style="552" customWidth="1"/>
    <col min="7940" max="7940" width="7.5703125" style="552" customWidth="1"/>
    <col min="7941" max="7941" width="4.5703125" style="552" customWidth="1"/>
    <col min="7942" max="7942" width="13" style="552" customWidth="1"/>
    <col min="7943" max="7943" width="15.85546875" style="552" customWidth="1"/>
    <col min="7944" max="8192" width="9" style="552"/>
    <col min="8193" max="8193" width="4.42578125" style="552" customWidth="1"/>
    <col min="8194" max="8194" width="24.28515625" style="552" customWidth="1"/>
    <col min="8195" max="8195" width="19" style="552" customWidth="1"/>
    <col min="8196" max="8196" width="7.5703125" style="552" customWidth="1"/>
    <col min="8197" max="8197" width="4.5703125" style="552" customWidth="1"/>
    <col min="8198" max="8198" width="13" style="552" customWidth="1"/>
    <col min="8199" max="8199" width="15.85546875" style="552" customWidth="1"/>
    <col min="8200" max="8448" width="9" style="552"/>
    <col min="8449" max="8449" width="4.42578125" style="552" customWidth="1"/>
    <col min="8450" max="8450" width="24.28515625" style="552" customWidth="1"/>
    <col min="8451" max="8451" width="19" style="552" customWidth="1"/>
    <col min="8452" max="8452" width="7.5703125" style="552" customWidth="1"/>
    <col min="8453" max="8453" width="4.5703125" style="552" customWidth="1"/>
    <col min="8454" max="8454" width="13" style="552" customWidth="1"/>
    <col min="8455" max="8455" width="15.85546875" style="552" customWidth="1"/>
    <col min="8456" max="8704" width="9" style="552"/>
    <col min="8705" max="8705" width="4.42578125" style="552" customWidth="1"/>
    <col min="8706" max="8706" width="24.28515625" style="552" customWidth="1"/>
    <col min="8707" max="8707" width="19" style="552" customWidth="1"/>
    <col min="8708" max="8708" width="7.5703125" style="552" customWidth="1"/>
    <col min="8709" max="8709" width="4.5703125" style="552" customWidth="1"/>
    <col min="8710" max="8710" width="13" style="552" customWidth="1"/>
    <col min="8711" max="8711" width="15.85546875" style="552" customWidth="1"/>
    <col min="8712" max="8960" width="9" style="552"/>
    <col min="8961" max="8961" width="4.42578125" style="552" customWidth="1"/>
    <col min="8962" max="8962" width="24.28515625" style="552" customWidth="1"/>
    <col min="8963" max="8963" width="19" style="552" customWidth="1"/>
    <col min="8964" max="8964" width="7.5703125" style="552" customWidth="1"/>
    <col min="8965" max="8965" width="4.5703125" style="552" customWidth="1"/>
    <col min="8966" max="8966" width="13" style="552" customWidth="1"/>
    <col min="8967" max="8967" width="15.85546875" style="552" customWidth="1"/>
    <col min="8968" max="9216" width="9" style="552"/>
    <col min="9217" max="9217" width="4.42578125" style="552" customWidth="1"/>
    <col min="9218" max="9218" width="24.28515625" style="552" customWidth="1"/>
    <col min="9219" max="9219" width="19" style="552" customWidth="1"/>
    <col min="9220" max="9220" width="7.5703125" style="552" customWidth="1"/>
    <col min="9221" max="9221" width="4.5703125" style="552" customWidth="1"/>
    <col min="9222" max="9222" width="13" style="552" customWidth="1"/>
    <col min="9223" max="9223" width="15.85546875" style="552" customWidth="1"/>
    <col min="9224" max="9472" width="9" style="552"/>
    <col min="9473" max="9473" width="4.42578125" style="552" customWidth="1"/>
    <col min="9474" max="9474" width="24.28515625" style="552" customWidth="1"/>
    <col min="9475" max="9475" width="19" style="552" customWidth="1"/>
    <col min="9476" max="9476" width="7.5703125" style="552" customWidth="1"/>
    <col min="9477" max="9477" width="4.5703125" style="552" customWidth="1"/>
    <col min="9478" max="9478" width="13" style="552" customWidth="1"/>
    <col min="9479" max="9479" width="15.85546875" style="552" customWidth="1"/>
    <col min="9480" max="9728" width="9" style="552"/>
    <col min="9729" max="9729" width="4.42578125" style="552" customWidth="1"/>
    <col min="9730" max="9730" width="24.28515625" style="552" customWidth="1"/>
    <col min="9731" max="9731" width="19" style="552" customWidth="1"/>
    <col min="9732" max="9732" width="7.5703125" style="552" customWidth="1"/>
    <col min="9733" max="9733" width="4.5703125" style="552" customWidth="1"/>
    <col min="9734" max="9734" width="13" style="552" customWidth="1"/>
    <col min="9735" max="9735" width="15.85546875" style="552" customWidth="1"/>
    <col min="9736" max="9984" width="9" style="552"/>
    <col min="9985" max="9985" width="4.42578125" style="552" customWidth="1"/>
    <col min="9986" max="9986" width="24.28515625" style="552" customWidth="1"/>
    <col min="9987" max="9987" width="19" style="552" customWidth="1"/>
    <col min="9988" max="9988" width="7.5703125" style="552" customWidth="1"/>
    <col min="9989" max="9989" width="4.5703125" style="552" customWidth="1"/>
    <col min="9990" max="9990" width="13" style="552" customWidth="1"/>
    <col min="9991" max="9991" width="15.85546875" style="552" customWidth="1"/>
    <col min="9992" max="10240" width="9" style="552"/>
    <col min="10241" max="10241" width="4.42578125" style="552" customWidth="1"/>
    <col min="10242" max="10242" width="24.28515625" style="552" customWidth="1"/>
    <col min="10243" max="10243" width="19" style="552" customWidth="1"/>
    <col min="10244" max="10244" width="7.5703125" style="552" customWidth="1"/>
    <col min="10245" max="10245" width="4.5703125" style="552" customWidth="1"/>
    <col min="10246" max="10246" width="13" style="552" customWidth="1"/>
    <col min="10247" max="10247" width="15.85546875" style="552" customWidth="1"/>
    <col min="10248" max="10496" width="9" style="552"/>
    <col min="10497" max="10497" width="4.42578125" style="552" customWidth="1"/>
    <col min="10498" max="10498" width="24.28515625" style="552" customWidth="1"/>
    <col min="10499" max="10499" width="19" style="552" customWidth="1"/>
    <col min="10500" max="10500" width="7.5703125" style="552" customWidth="1"/>
    <col min="10501" max="10501" width="4.5703125" style="552" customWidth="1"/>
    <col min="10502" max="10502" width="13" style="552" customWidth="1"/>
    <col min="10503" max="10503" width="15.85546875" style="552" customWidth="1"/>
    <col min="10504" max="10752" width="9" style="552"/>
    <col min="10753" max="10753" width="4.42578125" style="552" customWidth="1"/>
    <col min="10754" max="10754" width="24.28515625" style="552" customWidth="1"/>
    <col min="10755" max="10755" width="19" style="552" customWidth="1"/>
    <col min="10756" max="10756" width="7.5703125" style="552" customWidth="1"/>
    <col min="10757" max="10757" width="4.5703125" style="552" customWidth="1"/>
    <col min="10758" max="10758" width="13" style="552" customWidth="1"/>
    <col min="10759" max="10759" width="15.85546875" style="552" customWidth="1"/>
    <col min="10760" max="11008" width="9" style="552"/>
    <col min="11009" max="11009" width="4.42578125" style="552" customWidth="1"/>
    <col min="11010" max="11010" width="24.28515625" style="552" customWidth="1"/>
    <col min="11011" max="11011" width="19" style="552" customWidth="1"/>
    <col min="11012" max="11012" width="7.5703125" style="552" customWidth="1"/>
    <col min="11013" max="11013" width="4.5703125" style="552" customWidth="1"/>
    <col min="11014" max="11014" width="13" style="552" customWidth="1"/>
    <col min="11015" max="11015" width="15.85546875" style="552" customWidth="1"/>
    <col min="11016" max="11264" width="9" style="552"/>
    <col min="11265" max="11265" width="4.42578125" style="552" customWidth="1"/>
    <col min="11266" max="11266" width="24.28515625" style="552" customWidth="1"/>
    <col min="11267" max="11267" width="19" style="552" customWidth="1"/>
    <col min="11268" max="11268" width="7.5703125" style="552" customWidth="1"/>
    <col min="11269" max="11269" width="4.5703125" style="552" customWidth="1"/>
    <col min="11270" max="11270" width="13" style="552" customWidth="1"/>
    <col min="11271" max="11271" width="15.85546875" style="552" customWidth="1"/>
    <col min="11272" max="11520" width="9" style="552"/>
    <col min="11521" max="11521" width="4.42578125" style="552" customWidth="1"/>
    <col min="11522" max="11522" width="24.28515625" style="552" customWidth="1"/>
    <col min="11523" max="11523" width="19" style="552" customWidth="1"/>
    <col min="11524" max="11524" width="7.5703125" style="552" customWidth="1"/>
    <col min="11525" max="11525" width="4.5703125" style="552" customWidth="1"/>
    <col min="11526" max="11526" width="13" style="552" customWidth="1"/>
    <col min="11527" max="11527" width="15.85546875" style="552" customWidth="1"/>
    <col min="11528" max="11776" width="9" style="552"/>
    <col min="11777" max="11777" width="4.42578125" style="552" customWidth="1"/>
    <col min="11778" max="11778" width="24.28515625" style="552" customWidth="1"/>
    <col min="11779" max="11779" width="19" style="552" customWidth="1"/>
    <col min="11780" max="11780" width="7.5703125" style="552" customWidth="1"/>
    <col min="11781" max="11781" width="4.5703125" style="552" customWidth="1"/>
    <col min="11782" max="11782" width="13" style="552" customWidth="1"/>
    <col min="11783" max="11783" width="15.85546875" style="552" customWidth="1"/>
    <col min="11784" max="12032" width="9" style="552"/>
    <col min="12033" max="12033" width="4.42578125" style="552" customWidth="1"/>
    <col min="12034" max="12034" width="24.28515625" style="552" customWidth="1"/>
    <col min="12035" max="12035" width="19" style="552" customWidth="1"/>
    <col min="12036" max="12036" width="7.5703125" style="552" customWidth="1"/>
    <col min="12037" max="12037" width="4.5703125" style="552" customWidth="1"/>
    <col min="12038" max="12038" width="13" style="552" customWidth="1"/>
    <col min="12039" max="12039" width="15.85546875" style="552" customWidth="1"/>
    <col min="12040" max="12288" width="9" style="552"/>
    <col min="12289" max="12289" width="4.42578125" style="552" customWidth="1"/>
    <col min="12290" max="12290" width="24.28515625" style="552" customWidth="1"/>
    <col min="12291" max="12291" width="19" style="552" customWidth="1"/>
    <col min="12292" max="12292" width="7.5703125" style="552" customWidth="1"/>
    <col min="12293" max="12293" width="4.5703125" style="552" customWidth="1"/>
    <col min="12294" max="12294" width="13" style="552" customWidth="1"/>
    <col min="12295" max="12295" width="15.85546875" style="552" customWidth="1"/>
    <col min="12296" max="12544" width="9" style="552"/>
    <col min="12545" max="12545" width="4.42578125" style="552" customWidth="1"/>
    <col min="12546" max="12546" width="24.28515625" style="552" customWidth="1"/>
    <col min="12547" max="12547" width="19" style="552" customWidth="1"/>
    <col min="12548" max="12548" width="7.5703125" style="552" customWidth="1"/>
    <col min="12549" max="12549" width="4.5703125" style="552" customWidth="1"/>
    <col min="12550" max="12550" width="13" style="552" customWidth="1"/>
    <col min="12551" max="12551" width="15.85546875" style="552" customWidth="1"/>
    <col min="12552" max="12800" width="9" style="552"/>
    <col min="12801" max="12801" width="4.42578125" style="552" customWidth="1"/>
    <col min="12802" max="12802" width="24.28515625" style="552" customWidth="1"/>
    <col min="12803" max="12803" width="19" style="552" customWidth="1"/>
    <col min="12804" max="12804" width="7.5703125" style="552" customWidth="1"/>
    <col min="12805" max="12805" width="4.5703125" style="552" customWidth="1"/>
    <col min="12806" max="12806" width="13" style="552" customWidth="1"/>
    <col min="12807" max="12807" width="15.85546875" style="552" customWidth="1"/>
    <col min="12808" max="13056" width="9" style="552"/>
    <col min="13057" max="13057" width="4.42578125" style="552" customWidth="1"/>
    <col min="13058" max="13058" width="24.28515625" style="552" customWidth="1"/>
    <col min="13059" max="13059" width="19" style="552" customWidth="1"/>
    <col min="13060" max="13060" width="7.5703125" style="552" customWidth="1"/>
    <col min="13061" max="13061" width="4.5703125" style="552" customWidth="1"/>
    <col min="13062" max="13062" width="13" style="552" customWidth="1"/>
    <col min="13063" max="13063" width="15.85546875" style="552" customWidth="1"/>
    <col min="13064" max="13312" width="9" style="552"/>
    <col min="13313" max="13313" width="4.42578125" style="552" customWidth="1"/>
    <col min="13314" max="13314" width="24.28515625" style="552" customWidth="1"/>
    <col min="13315" max="13315" width="19" style="552" customWidth="1"/>
    <col min="13316" max="13316" width="7.5703125" style="552" customWidth="1"/>
    <col min="13317" max="13317" width="4.5703125" style="552" customWidth="1"/>
    <col min="13318" max="13318" width="13" style="552" customWidth="1"/>
    <col min="13319" max="13319" width="15.85546875" style="552" customWidth="1"/>
    <col min="13320" max="13568" width="9" style="552"/>
    <col min="13569" max="13569" width="4.42578125" style="552" customWidth="1"/>
    <col min="13570" max="13570" width="24.28515625" style="552" customWidth="1"/>
    <col min="13571" max="13571" width="19" style="552" customWidth="1"/>
    <col min="13572" max="13572" width="7.5703125" style="552" customWidth="1"/>
    <col min="13573" max="13573" width="4.5703125" style="552" customWidth="1"/>
    <col min="13574" max="13574" width="13" style="552" customWidth="1"/>
    <col min="13575" max="13575" width="15.85546875" style="552" customWidth="1"/>
    <col min="13576" max="13824" width="9" style="552"/>
    <col min="13825" max="13825" width="4.42578125" style="552" customWidth="1"/>
    <col min="13826" max="13826" width="24.28515625" style="552" customWidth="1"/>
    <col min="13827" max="13827" width="19" style="552" customWidth="1"/>
    <col min="13828" max="13828" width="7.5703125" style="552" customWidth="1"/>
    <col min="13829" max="13829" width="4.5703125" style="552" customWidth="1"/>
    <col min="13830" max="13830" width="13" style="552" customWidth="1"/>
    <col min="13831" max="13831" width="15.85546875" style="552" customWidth="1"/>
    <col min="13832" max="14080" width="9" style="552"/>
    <col min="14081" max="14081" width="4.42578125" style="552" customWidth="1"/>
    <col min="14082" max="14082" width="24.28515625" style="552" customWidth="1"/>
    <col min="14083" max="14083" width="19" style="552" customWidth="1"/>
    <col min="14084" max="14084" width="7.5703125" style="552" customWidth="1"/>
    <col min="14085" max="14085" width="4.5703125" style="552" customWidth="1"/>
    <col min="14086" max="14086" width="13" style="552" customWidth="1"/>
    <col min="14087" max="14087" width="15.85546875" style="552" customWidth="1"/>
    <col min="14088" max="14336" width="9" style="552"/>
    <col min="14337" max="14337" width="4.42578125" style="552" customWidth="1"/>
    <col min="14338" max="14338" width="24.28515625" style="552" customWidth="1"/>
    <col min="14339" max="14339" width="19" style="552" customWidth="1"/>
    <col min="14340" max="14340" width="7.5703125" style="552" customWidth="1"/>
    <col min="14341" max="14341" width="4.5703125" style="552" customWidth="1"/>
    <col min="14342" max="14342" width="13" style="552" customWidth="1"/>
    <col min="14343" max="14343" width="15.85546875" style="552" customWidth="1"/>
    <col min="14344" max="14592" width="9" style="552"/>
    <col min="14593" max="14593" width="4.42578125" style="552" customWidth="1"/>
    <col min="14594" max="14594" width="24.28515625" style="552" customWidth="1"/>
    <col min="14595" max="14595" width="19" style="552" customWidth="1"/>
    <col min="14596" max="14596" width="7.5703125" style="552" customWidth="1"/>
    <col min="14597" max="14597" width="4.5703125" style="552" customWidth="1"/>
    <col min="14598" max="14598" width="13" style="552" customWidth="1"/>
    <col min="14599" max="14599" width="15.85546875" style="552" customWidth="1"/>
    <col min="14600" max="14848" width="9" style="552"/>
    <col min="14849" max="14849" width="4.42578125" style="552" customWidth="1"/>
    <col min="14850" max="14850" width="24.28515625" style="552" customWidth="1"/>
    <col min="14851" max="14851" width="19" style="552" customWidth="1"/>
    <col min="14852" max="14852" width="7.5703125" style="552" customWidth="1"/>
    <col min="14853" max="14853" width="4.5703125" style="552" customWidth="1"/>
    <col min="14854" max="14854" width="13" style="552" customWidth="1"/>
    <col min="14855" max="14855" width="15.85546875" style="552" customWidth="1"/>
    <col min="14856" max="15104" width="9" style="552"/>
    <col min="15105" max="15105" width="4.42578125" style="552" customWidth="1"/>
    <col min="15106" max="15106" width="24.28515625" style="552" customWidth="1"/>
    <col min="15107" max="15107" width="19" style="552" customWidth="1"/>
    <col min="15108" max="15108" width="7.5703125" style="552" customWidth="1"/>
    <col min="15109" max="15109" width="4.5703125" style="552" customWidth="1"/>
    <col min="15110" max="15110" width="13" style="552" customWidth="1"/>
    <col min="15111" max="15111" width="15.85546875" style="552" customWidth="1"/>
    <col min="15112" max="15360" width="9" style="552"/>
    <col min="15361" max="15361" width="4.42578125" style="552" customWidth="1"/>
    <col min="15362" max="15362" width="24.28515625" style="552" customWidth="1"/>
    <col min="15363" max="15363" width="19" style="552" customWidth="1"/>
    <col min="15364" max="15364" width="7.5703125" style="552" customWidth="1"/>
    <col min="15365" max="15365" width="4.5703125" style="552" customWidth="1"/>
    <col min="15366" max="15366" width="13" style="552" customWidth="1"/>
    <col min="15367" max="15367" width="15.85546875" style="552" customWidth="1"/>
    <col min="15368" max="15616" width="9" style="552"/>
    <col min="15617" max="15617" width="4.42578125" style="552" customWidth="1"/>
    <col min="15618" max="15618" width="24.28515625" style="552" customWidth="1"/>
    <col min="15619" max="15619" width="19" style="552" customWidth="1"/>
    <col min="15620" max="15620" width="7.5703125" style="552" customWidth="1"/>
    <col min="15621" max="15621" width="4.5703125" style="552" customWidth="1"/>
    <col min="15622" max="15622" width="13" style="552" customWidth="1"/>
    <col min="15623" max="15623" width="15.85546875" style="552" customWidth="1"/>
    <col min="15624" max="15872" width="9" style="552"/>
    <col min="15873" max="15873" width="4.42578125" style="552" customWidth="1"/>
    <col min="15874" max="15874" width="24.28515625" style="552" customWidth="1"/>
    <col min="15875" max="15875" width="19" style="552" customWidth="1"/>
    <col min="15876" max="15876" width="7.5703125" style="552" customWidth="1"/>
    <col min="15877" max="15877" width="4.5703125" style="552" customWidth="1"/>
    <col min="15878" max="15878" width="13" style="552" customWidth="1"/>
    <col min="15879" max="15879" width="15.85546875" style="552" customWidth="1"/>
    <col min="15880" max="16128" width="9" style="552"/>
    <col min="16129" max="16129" width="4.42578125" style="552" customWidth="1"/>
    <col min="16130" max="16130" width="24.28515625" style="552" customWidth="1"/>
    <col min="16131" max="16131" width="19" style="552" customWidth="1"/>
    <col min="16132" max="16132" width="7.5703125" style="552" customWidth="1"/>
    <col min="16133" max="16133" width="4.5703125" style="552" customWidth="1"/>
    <col min="16134" max="16134" width="13" style="552" customWidth="1"/>
    <col min="16135" max="16135" width="15.85546875" style="552" customWidth="1"/>
    <col min="16136" max="16384" width="9" style="552"/>
  </cols>
  <sheetData>
    <row r="2" spans="1:7" ht="15.75">
      <c r="B2" s="750"/>
      <c r="C2" s="750"/>
      <c r="D2" s="750"/>
      <c r="E2" s="750"/>
      <c r="F2" s="750"/>
      <c r="G2" s="750"/>
    </row>
    <row r="3" spans="1:7" ht="15.75" customHeight="1">
      <c r="A3" s="553"/>
      <c r="B3" s="751" t="s">
        <v>640</v>
      </c>
      <c r="C3" s="751"/>
      <c r="D3" s="751"/>
      <c r="E3" s="751"/>
      <c r="F3" s="751"/>
      <c r="G3" s="554"/>
    </row>
    <row r="4" spans="1:7" ht="15.75" customHeight="1">
      <c r="A4" s="553"/>
      <c r="B4" s="751"/>
      <c r="C4" s="751"/>
      <c r="D4" s="751"/>
      <c r="E4" s="751"/>
      <c r="F4" s="751"/>
      <c r="G4" s="554"/>
    </row>
    <row r="5" spans="1:7" ht="15.75">
      <c r="A5" s="553"/>
      <c r="B5" s="751"/>
      <c r="C5" s="751"/>
      <c r="D5" s="751"/>
      <c r="E5" s="751"/>
      <c r="F5" s="751"/>
      <c r="G5" s="554"/>
    </row>
    <row r="6" spans="1:7" ht="15.75">
      <c r="A6" s="553"/>
      <c r="B6" s="750" t="s">
        <v>641</v>
      </c>
      <c r="C6" s="750"/>
      <c r="D6" s="750"/>
      <c r="E6" s="750"/>
      <c r="F6" s="750"/>
      <c r="G6" s="554"/>
    </row>
    <row r="7" spans="1:7" ht="15.75">
      <c r="A7" s="553"/>
      <c r="B7" s="555"/>
      <c r="C7" s="554"/>
      <c r="E7" s="554"/>
      <c r="F7" s="554"/>
      <c r="G7" s="554"/>
    </row>
    <row r="8" spans="1:7" ht="15.75">
      <c r="A8" s="553"/>
      <c r="B8" s="555"/>
      <c r="C8" s="554"/>
      <c r="E8" s="554"/>
      <c r="F8" s="554"/>
      <c r="G8" s="554"/>
    </row>
    <row r="9" spans="1:7" ht="15.75">
      <c r="A9" s="553"/>
      <c r="B9" s="555"/>
      <c r="C9" s="554"/>
      <c r="E9" s="554"/>
      <c r="F9" s="554"/>
      <c r="G9" s="554"/>
    </row>
    <row r="10" spans="1:7" ht="15.75" customHeight="1">
      <c r="A10" s="553"/>
      <c r="B10" s="555" t="s">
        <v>642</v>
      </c>
      <c r="C10" s="751" t="s">
        <v>643</v>
      </c>
      <c r="D10" s="751"/>
      <c r="E10" s="751"/>
      <c r="F10" s="751"/>
      <c r="G10" s="556"/>
    </row>
    <row r="11" spans="1:7" ht="15.75">
      <c r="A11" s="553"/>
      <c r="B11" s="555"/>
      <c r="C11" s="751"/>
      <c r="D11" s="751"/>
      <c r="E11" s="751"/>
      <c r="F11" s="751"/>
      <c r="G11" s="556"/>
    </row>
    <row r="12" spans="1:7" ht="15.75">
      <c r="A12" s="553"/>
      <c r="B12" s="555"/>
      <c r="C12" s="556"/>
      <c r="D12" s="556"/>
      <c r="E12" s="556"/>
      <c r="F12" s="556"/>
      <c r="G12" s="556"/>
    </row>
    <row r="13" spans="1:7" ht="15.75">
      <c r="A13" s="553"/>
      <c r="B13" s="555"/>
      <c r="C13" s="556"/>
      <c r="D13" s="556"/>
      <c r="E13" s="556"/>
      <c r="F13" s="556"/>
      <c r="G13" s="556"/>
    </row>
    <row r="14" spans="1:7" ht="15.75">
      <c r="A14" s="553"/>
      <c r="B14" s="555"/>
      <c r="C14" s="556"/>
      <c r="D14" s="556"/>
      <c r="E14" s="556"/>
      <c r="F14" s="556"/>
      <c r="G14" s="556"/>
    </row>
    <row r="15" spans="1:7" ht="15.75">
      <c r="A15" s="553"/>
      <c r="B15" s="555"/>
      <c r="C15" s="556"/>
      <c r="D15" s="556"/>
      <c r="E15" s="556"/>
      <c r="F15" s="556"/>
      <c r="G15" s="556"/>
    </row>
    <row r="16" spans="1:7" ht="12.75" customHeight="1">
      <c r="A16" s="553"/>
      <c r="B16" s="555" t="s">
        <v>644</v>
      </c>
      <c r="C16" s="752" t="s">
        <v>645</v>
      </c>
      <c r="D16" s="752"/>
      <c r="E16" s="752"/>
      <c r="F16" s="752"/>
      <c r="G16" s="554"/>
    </row>
    <row r="17" spans="1:7" ht="15.75" customHeight="1">
      <c r="A17" s="553"/>
      <c r="B17" s="555"/>
      <c r="C17" s="752"/>
      <c r="D17" s="752"/>
      <c r="E17" s="752"/>
      <c r="F17" s="752"/>
      <c r="G17" s="554"/>
    </row>
    <row r="18" spans="1:7" ht="15.75">
      <c r="A18" s="553"/>
      <c r="B18" s="555"/>
      <c r="C18" s="752"/>
      <c r="D18" s="752"/>
      <c r="E18" s="752"/>
      <c r="F18" s="752"/>
      <c r="G18" s="554"/>
    </row>
    <row r="19" spans="1:7" ht="15.75">
      <c r="A19" s="553"/>
      <c r="B19" s="555"/>
      <c r="C19" s="752"/>
      <c r="D19" s="752"/>
      <c r="E19" s="752"/>
      <c r="F19" s="752"/>
      <c r="G19" s="554"/>
    </row>
    <row r="20" spans="1:7" ht="15.75">
      <c r="A20" s="553"/>
      <c r="B20" s="555"/>
      <c r="C20" s="554"/>
      <c r="E20" s="554"/>
      <c r="F20" s="554"/>
      <c r="G20" s="554"/>
    </row>
    <row r="21" spans="1:7" ht="15.75">
      <c r="A21" s="553"/>
      <c r="B21" s="555"/>
      <c r="C21" s="554"/>
      <c r="E21" s="554"/>
      <c r="F21" s="554"/>
      <c r="G21" s="554"/>
    </row>
    <row r="22" spans="1:7" ht="15.75">
      <c r="A22" s="553"/>
      <c r="B22" s="555"/>
      <c r="C22" s="554"/>
      <c r="E22" s="554"/>
      <c r="F22" s="554"/>
      <c r="G22" s="554"/>
    </row>
    <row r="23" spans="1:7" ht="15.75">
      <c r="A23" s="553"/>
      <c r="C23" s="554"/>
      <c r="E23" s="554"/>
      <c r="F23" s="554"/>
      <c r="G23" s="554"/>
    </row>
    <row r="24" spans="1:7" ht="15.75">
      <c r="A24" s="553"/>
      <c r="B24" s="551" t="s">
        <v>646</v>
      </c>
      <c r="C24" s="554"/>
      <c r="E24" s="554"/>
      <c r="F24" s="554"/>
      <c r="G24" s="554"/>
    </row>
    <row r="25" spans="1:7" ht="15.75">
      <c r="A25" s="553"/>
      <c r="C25" s="554"/>
      <c r="E25" s="554"/>
      <c r="F25" s="554"/>
      <c r="G25" s="554"/>
    </row>
    <row r="26" spans="1:7" ht="15.75">
      <c r="A26" s="553"/>
      <c r="B26" s="749" t="s">
        <v>647</v>
      </c>
      <c r="C26" s="749"/>
      <c r="D26" s="749"/>
      <c r="E26" s="749"/>
      <c r="F26" s="749"/>
      <c r="G26" s="554"/>
    </row>
    <row r="27" spans="1:7" ht="15.75">
      <c r="A27" s="553"/>
      <c r="B27" s="749"/>
      <c r="C27" s="749"/>
      <c r="D27" s="749"/>
      <c r="E27" s="749"/>
      <c r="F27" s="749"/>
      <c r="G27" s="554"/>
    </row>
    <row r="28" spans="1:7" ht="15.75">
      <c r="A28" s="553"/>
      <c r="B28" s="749"/>
      <c r="C28" s="749"/>
      <c r="D28" s="749"/>
      <c r="E28" s="749"/>
      <c r="F28" s="749"/>
      <c r="G28" s="554"/>
    </row>
    <row r="29" spans="1:7" ht="15.75">
      <c r="A29" s="553"/>
      <c r="B29" s="557"/>
      <c r="C29" s="557"/>
      <c r="D29" s="557"/>
      <c r="E29" s="557"/>
      <c r="F29" s="557"/>
      <c r="G29" s="554"/>
    </row>
    <row r="30" spans="1:7" ht="15.75">
      <c r="A30" s="553"/>
      <c r="B30" s="557"/>
      <c r="C30" s="557"/>
      <c r="D30" s="557"/>
      <c r="E30" s="557"/>
      <c r="F30" s="557"/>
      <c r="G30" s="554"/>
    </row>
    <row r="31" spans="1:7" ht="57.6" customHeight="1">
      <c r="A31" s="553"/>
      <c r="B31" s="749" t="s">
        <v>648</v>
      </c>
      <c r="C31" s="749"/>
      <c r="D31" s="749"/>
      <c r="E31" s="749"/>
      <c r="F31" s="749"/>
      <c r="G31" s="554"/>
    </row>
    <row r="32" spans="1:7" ht="15.75">
      <c r="A32" s="553"/>
      <c r="B32" s="557"/>
      <c r="C32" s="557"/>
      <c r="D32" s="557"/>
      <c r="E32" s="557"/>
      <c r="F32" s="557"/>
      <c r="G32" s="554"/>
    </row>
    <row r="33" spans="1:7" ht="15.75">
      <c r="A33" s="553"/>
      <c r="B33" s="557"/>
      <c r="C33" s="557"/>
      <c r="D33" s="557"/>
      <c r="E33" s="557"/>
      <c r="F33" s="557"/>
      <c r="G33" s="554"/>
    </row>
    <row r="34" spans="1:7" ht="15.75">
      <c r="A34" s="553"/>
      <c r="B34" s="557"/>
      <c r="C34" s="557"/>
      <c r="D34" s="557"/>
      <c r="E34" s="557"/>
      <c r="F34" s="557"/>
      <c r="G34" s="554"/>
    </row>
    <row r="35" spans="1:7" ht="15.75">
      <c r="A35" s="553"/>
      <c r="B35" s="557"/>
      <c r="C35" s="557"/>
      <c r="D35" s="557"/>
      <c r="E35" s="557"/>
      <c r="F35" s="557"/>
      <c r="G35" s="554"/>
    </row>
    <row r="36" spans="1:7" ht="15.75">
      <c r="A36" s="553"/>
      <c r="B36" s="557" t="str">
        <f>B57</f>
        <v>PRIPRAVLJALNA DELA</v>
      </c>
      <c r="C36" s="557"/>
      <c r="D36" s="557"/>
      <c r="E36" s="557"/>
      <c r="F36" s="557"/>
      <c r="G36" s="595">
        <f>G99</f>
        <v>0</v>
      </c>
    </row>
    <row r="37" spans="1:7" ht="15.75">
      <c r="A37" s="553"/>
      <c r="B37" s="557" t="str">
        <f>B102</f>
        <v>GRADBENA DELA</v>
      </c>
      <c r="C37" s="557"/>
      <c r="D37" s="557"/>
      <c r="E37" s="557"/>
      <c r="F37" s="557"/>
      <c r="G37" s="595">
        <f>G137</f>
        <v>0</v>
      </c>
    </row>
    <row r="38" spans="1:7" ht="39">
      <c r="A38" s="553"/>
      <c r="B38" s="596" t="str">
        <f>B143</f>
        <v>MONTAŽNA DELA IN VODNIKI NN 0.4 KV MREŽE</v>
      </c>
      <c r="C38" s="596"/>
      <c r="D38" s="596"/>
      <c r="E38" s="596"/>
      <c r="F38" s="596"/>
      <c r="G38" s="597">
        <f>G185</f>
        <v>0</v>
      </c>
    </row>
    <row r="39" spans="1:7" ht="15.75">
      <c r="A39" s="553"/>
      <c r="B39" s="557"/>
      <c r="C39" s="557"/>
      <c r="D39" s="557"/>
      <c r="E39" s="557"/>
      <c r="F39" s="557" t="s">
        <v>706</v>
      </c>
      <c r="G39" s="595">
        <f>SUM(G36:G38)</f>
        <v>0</v>
      </c>
    </row>
    <row r="40" spans="1:7" ht="15.75">
      <c r="A40" s="553"/>
      <c r="B40" s="557"/>
      <c r="C40" s="557"/>
      <c r="D40" s="557"/>
      <c r="E40" s="557"/>
      <c r="F40" s="557" t="s">
        <v>707</v>
      </c>
      <c r="G40" s="595">
        <f>G39*0.22</f>
        <v>0</v>
      </c>
    </row>
    <row r="41" spans="1:7" ht="26.25">
      <c r="A41" s="553"/>
      <c r="B41" s="557"/>
      <c r="C41" s="557"/>
      <c r="D41" s="557"/>
      <c r="E41" s="557"/>
      <c r="F41" s="557" t="s">
        <v>708</v>
      </c>
      <c r="G41" s="595">
        <f>SUM(G39:G40)</f>
        <v>0</v>
      </c>
    </row>
    <row r="42" spans="1:7" ht="15.75">
      <c r="A42" s="553"/>
      <c r="B42" s="557"/>
      <c r="C42" s="557"/>
      <c r="D42" s="557"/>
      <c r="E42" s="557"/>
      <c r="F42" s="557"/>
      <c r="G42" s="554"/>
    </row>
    <row r="43" spans="1:7" ht="15.75">
      <c r="A43" s="553"/>
      <c r="B43" s="557"/>
      <c r="C43" s="557"/>
      <c r="D43" s="557"/>
      <c r="E43" s="557"/>
      <c r="F43" s="557"/>
      <c r="G43" s="554"/>
    </row>
    <row r="44" spans="1:7" ht="15.75">
      <c r="A44" s="553"/>
      <c r="B44" s="557"/>
      <c r="C44" s="557"/>
      <c r="D44" s="557"/>
      <c r="E44" s="557"/>
      <c r="F44" s="557"/>
      <c r="G44" s="554"/>
    </row>
    <row r="45" spans="1:7" ht="15.75">
      <c r="A45" s="553"/>
      <c r="B45" s="557"/>
      <c r="C45" s="557"/>
      <c r="D45" s="557"/>
      <c r="E45" s="557"/>
      <c r="F45" s="557"/>
      <c r="G45" s="554"/>
    </row>
    <row r="46" spans="1:7" ht="15.75">
      <c r="A46" s="553"/>
      <c r="B46" s="557"/>
      <c r="C46" s="557"/>
      <c r="D46" s="557"/>
      <c r="E46" s="557"/>
      <c r="F46" s="557"/>
      <c r="G46" s="554"/>
    </row>
    <row r="47" spans="1:7" ht="15.75">
      <c r="A47" s="553"/>
      <c r="B47" s="557"/>
      <c r="C47" s="557"/>
      <c r="D47" s="557"/>
      <c r="E47" s="557"/>
      <c r="F47" s="557"/>
      <c r="G47" s="554"/>
    </row>
    <row r="48" spans="1:7" ht="15.75">
      <c r="A48" s="553"/>
      <c r="B48" s="557"/>
      <c r="C48" s="557"/>
      <c r="D48" s="557"/>
      <c r="E48" s="557"/>
      <c r="F48" s="557"/>
      <c r="G48" s="554"/>
    </row>
    <row r="49" spans="1:7" ht="15.75">
      <c r="A49" s="553"/>
      <c r="B49" s="557"/>
      <c r="C49" s="557"/>
      <c r="D49" s="557"/>
      <c r="E49" s="557"/>
      <c r="F49" s="557"/>
      <c r="G49" s="554"/>
    </row>
    <row r="50" spans="1:7" ht="15.75">
      <c r="A50" s="553"/>
      <c r="B50" s="557"/>
      <c r="C50" s="557"/>
      <c r="D50" s="557"/>
      <c r="E50" s="557"/>
      <c r="F50" s="557"/>
      <c r="G50" s="554"/>
    </row>
    <row r="51" spans="1:7" ht="15.75">
      <c r="A51" s="553"/>
      <c r="B51" s="557"/>
      <c r="C51" s="557"/>
      <c r="D51" s="557"/>
      <c r="E51" s="557"/>
      <c r="F51" s="557"/>
      <c r="G51" s="554"/>
    </row>
    <row r="52" spans="1:7" ht="15.75">
      <c r="A52" s="553"/>
      <c r="B52" s="557"/>
      <c r="C52" s="557"/>
      <c r="D52" s="557"/>
      <c r="E52" s="557"/>
      <c r="F52" s="557"/>
      <c r="G52" s="554"/>
    </row>
    <row r="53" spans="1:7" ht="15.75">
      <c r="A53" s="553"/>
      <c r="B53" s="558" t="s">
        <v>649</v>
      </c>
      <c r="C53" s="557"/>
      <c r="D53" s="557"/>
      <c r="E53" s="557"/>
      <c r="F53" s="558" t="s">
        <v>650</v>
      </c>
      <c r="G53" s="554"/>
    </row>
    <row r="54" spans="1:7" ht="15.75">
      <c r="A54" s="553"/>
      <c r="B54" s="558"/>
      <c r="C54" s="557"/>
      <c r="D54" s="557"/>
      <c r="E54" s="557"/>
      <c r="F54" s="558"/>
      <c r="G54" s="554"/>
    </row>
    <row r="55" spans="1:7" ht="15.75">
      <c r="A55" s="553"/>
      <c r="B55" s="558"/>
      <c r="C55" s="557"/>
      <c r="D55" s="557"/>
      <c r="E55" s="557"/>
      <c r="F55" s="558"/>
      <c r="G55" s="554"/>
    </row>
    <row r="56" spans="1:7" ht="15.75" customHeight="1">
      <c r="A56" s="553"/>
      <c r="B56" s="552"/>
      <c r="C56" s="558"/>
      <c r="D56" s="557"/>
      <c r="F56" s="552"/>
      <c r="G56" s="554"/>
    </row>
    <row r="57" spans="1:7" ht="15.75">
      <c r="A57" s="560" t="s">
        <v>651</v>
      </c>
      <c r="B57" s="753" t="s">
        <v>652</v>
      </c>
      <c r="C57" s="753"/>
      <c r="D57" s="557"/>
      <c r="E57" s="557"/>
      <c r="F57" s="557"/>
      <c r="G57" s="554"/>
    </row>
    <row r="58" spans="1:7" ht="16.5" thickBot="1">
      <c r="A58" s="553"/>
      <c r="B58" s="557"/>
      <c r="C58" s="557"/>
      <c r="D58" s="557"/>
      <c r="E58" s="557"/>
      <c r="F58" s="557"/>
      <c r="G58" s="554"/>
    </row>
    <row r="59" spans="1:7" ht="12.75">
      <c r="A59" s="561" t="s">
        <v>653</v>
      </c>
      <c r="B59" s="562" t="s">
        <v>654</v>
      </c>
      <c r="C59" s="562"/>
      <c r="D59" s="563" t="s">
        <v>655</v>
      </c>
      <c r="E59" s="562"/>
      <c r="F59" s="655" t="s">
        <v>656</v>
      </c>
      <c r="G59" s="564" t="s">
        <v>808</v>
      </c>
    </row>
    <row r="60" spans="1:7" ht="13.5" thickBot="1">
      <c r="A60" s="565"/>
      <c r="B60" s="566"/>
      <c r="C60" s="566"/>
      <c r="D60" s="566"/>
      <c r="E60" s="566"/>
      <c r="F60" s="567"/>
      <c r="G60" s="568"/>
    </row>
    <row r="61" spans="1:7" ht="12.75">
      <c r="A61" s="552"/>
      <c r="B61" s="569"/>
      <c r="C61" s="569"/>
      <c r="D61" s="569"/>
      <c r="E61" s="569"/>
      <c r="F61" s="569"/>
      <c r="G61" s="569"/>
    </row>
    <row r="62" spans="1:7" ht="12.75">
      <c r="A62" s="560"/>
      <c r="B62" s="570"/>
      <c r="C62" s="570"/>
      <c r="D62" s="569"/>
      <c r="E62" s="569"/>
      <c r="F62" s="569"/>
      <c r="G62" s="569"/>
    </row>
    <row r="63" spans="1:7" ht="12.75">
      <c r="A63" s="560" t="s">
        <v>657</v>
      </c>
      <c r="B63" s="570" t="s">
        <v>658</v>
      </c>
      <c r="C63" s="570"/>
      <c r="D63" s="569"/>
      <c r="E63" s="569"/>
      <c r="F63" s="569"/>
      <c r="G63" s="569"/>
    </row>
    <row r="64" spans="1:7" ht="12.75">
      <c r="A64" s="560"/>
      <c r="B64" s="570"/>
      <c r="C64" s="570"/>
      <c r="D64" s="569"/>
      <c r="E64" s="569"/>
      <c r="F64" s="569"/>
      <c r="G64" s="569"/>
    </row>
    <row r="65" spans="1:7" ht="12.75">
      <c r="A65" s="571" t="s">
        <v>602</v>
      </c>
      <c r="B65" s="749" t="s">
        <v>659</v>
      </c>
      <c r="C65" s="749"/>
      <c r="D65" s="552"/>
      <c r="E65" s="572"/>
      <c r="F65" s="573"/>
      <c r="G65" s="573"/>
    </row>
    <row r="66" spans="1:7" ht="12.75">
      <c r="A66" s="552"/>
      <c r="B66" s="749"/>
      <c r="C66" s="749"/>
      <c r="D66" s="552"/>
      <c r="E66" s="572"/>
      <c r="F66" s="573"/>
      <c r="G66" s="573"/>
    </row>
    <row r="67" spans="1:7" ht="12.75">
      <c r="A67" s="552"/>
      <c r="B67" s="552" t="s">
        <v>255</v>
      </c>
      <c r="C67" s="552"/>
      <c r="D67" s="552">
        <v>1</v>
      </c>
      <c r="E67" s="572"/>
      <c r="F67" s="573"/>
      <c r="G67" s="573">
        <f>D67*F67</f>
        <v>0</v>
      </c>
    </row>
    <row r="68" spans="1:7" ht="12.75">
      <c r="A68" s="552"/>
      <c r="B68" s="552"/>
      <c r="C68" s="552"/>
      <c r="D68" s="552"/>
      <c r="E68" s="572"/>
      <c r="F68" s="573"/>
      <c r="G68" s="573"/>
    </row>
    <row r="69" spans="1:7" ht="12.75">
      <c r="A69" s="571" t="s">
        <v>602</v>
      </c>
      <c r="B69" s="749" t="s">
        <v>660</v>
      </c>
      <c r="C69" s="749"/>
      <c r="D69" s="552"/>
      <c r="E69" s="572"/>
      <c r="F69" s="573"/>
      <c r="G69" s="573"/>
    </row>
    <row r="70" spans="1:7" ht="25.5" customHeight="1">
      <c r="A70" s="552"/>
      <c r="B70" s="749"/>
      <c r="C70" s="749"/>
      <c r="D70" s="552"/>
      <c r="E70" s="572"/>
      <c r="F70" s="573"/>
      <c r="G70" s="573"/>
    </row>
    <row r="71" spans="1:7" ht="12.75">
      <c r="A71" s="552"/>
      <c r="B71" s="552" t="s">
        <v>255</v>
      </c>
      <c r="C71" s="552"/>
      <c r="D71" s="552">
        <v>1</v>
      </c>
      <c r="E71" s="572"/>
      <c r="F71" s="573"/>
      <c r="G71" s="573">
        <f t="shared" ref="G71:G97" si="0">D71*F71</f>
        <v>0</v>
      </c>
    </row>
    <row r="72" spans="1:7" ht="12.75">
      <c r="A72" s="552"/>
      <c r="B72" s="552"/>
      <c r="C72" s="552"/>
      <c r="D72" s="552"/>
      <c r="E72" s="572"/>
      <c r="F72" s="573"/>
      <c r="G72" s="573"/>
    </row>
    <row r="73" spans="1:7" ht="52.5" customHeight="1">
      <c r="A73" s="574" t="s">
        <v>602</v>
      </c>
      <c r="B73" s="749" t="s">
        <v>661</v>
      </c>
      <c r="C73" s="749"/>
      <c r="D73" s="552"/>
      <c r="E73" s="572"/>
      <c r="F73" s="573"/>
      <c r="G73" s="573"/>
    </row>
    <row r="74" spans="1:7" ht="12.75">
      <c r="A74" s="552"/>
      <c r="B74" s="552" t="s">
        <v>182</v>
      </c>
      <c r="C74" s="552"/>
      <c r="D74" s="552">
        <v>1</v>
      </c>
      <c r="E74" s="572"/>
      <c r="F74" s="573"/>
      <c r="G74" s="573">
        <f t="shared" si="0"/>
        <v>0</v>
      </c>
    </row>
    <row r="75" spans="1:7" ht="12.75">
      <c r="A75" s="552"/>
      <c r="B75" s="552"/>
      <c r="C75" s="552"/>
      <c r="D75" s="552"/>
      <c r="E75" s="572"/>
      <c r="F75" s="573"/>
      <c r="G75" s="573"/>
    </row>
    <row r="76" spans="1:7" ht="12.75">
      <c r="A76" s="571" t="s">
        <v>602</v>
      </c>
      <c r="B76" s="749" t="s">
        <v>662</v>
      </c>
      <c r="C76" s="749"/>
      <c r="D76" s="552"/>
      <c r="E76" s="572"/>
      <c r="F76" s="573"/>
      <c r="G76" s="573"/>
    </row>
    <row r="77" spans="1:7" ht="12.75">
      <c r="A77" s="552"/>
      <c r="B77" s="749"/>
      <c r="C77" s="749"/>
      <c r="D77" s="552"/>
      <c r="E77" s="572"/>
      <c r="F77" s="573"/>
      <c r="G77" s="573"/>
    </row>
    <row r="78" spans="1:7" ht="12.75">
      <c r="A78" s="552"/>
      <c r="B78" s="552" t="s">
        <v>255</v>
      </c>
      <c r="C78" s="552"/>
      <c r="D78" s="552">
        <v>1</v>
      </c>
      <c r="E78" s="572"/>
      <c r="F78" s="573"/>
      <c r="G78" s="573">
        <f t="shared" si="0"/>
        <v>0</v>
      </c>
    </row>
    <row r="79" spans="1:7" ht="12.75">
      <c r="A79" s="552"/>
      <c r="B79" s="552"/>
      <c r="C79" s="552"/>
      <c r="D79" s="552"/>
      <c r="E79" s="572"/>
      <c r="F79" s="573"/>
      <c r="G79" s="573"/>
    </row>
    <row r="80" spans="1:7" ht="12.75">
      <c r="A80" s="552"/>
      <c r="B80" s="552"/>
      <c r="C80" s="552"/>
      <c r="D80" s="552"/>
      <c r="E80" s="552"/>
      <c r="F80" s="552"/>
      <c r="G80" s="573"/>
    </row>
    <row r="81" spans="1:7" ht="12.75">
      <c r="A81" s="560" t="s">
        <v>663</v>
      </c>
      <c r="B81" s="570" t="s">
        <v>664</v>
      </c>
      <c r="C81" s="552"/>
      <c r="D81" s="552"/>
      <c r="E81" s="572"/>
      <c r="F81" s="573"/>
      <c r="G81" s="573"/>
    </row>
    <row r="82" spans="1:7" ht="12.75">
      <c r="A82" s="552"/>
      <c r="B82" s="552"/>
      <c r="C82" s="552"/>
      <c r="D82" s="552"/>
      <c r="E82" s="572"/>
      <c r="F82" s="573"/>
      <c r="G82" s="573"/>
    </row>
    <row r="83" spans="1:7" ht="12.75">
      <c r="A83" s="571" t="s">
        <v>602</v>
      </c>
      <c r="B83" s="749" t="s">
        <v>665</v>
      </c>
      <c r="C83" s="749"/>
      <c r="D83" s="552"/>
      <c r="E83" s="572"/>
      <c r="F83" s="573"/>
      <c r="G83" s="573"/>
    </row>
    <row r="84" spans="1:7" ht="12.75">
      <c r="A84" s="552"/>
      <c r="B84" s="749"/>
      <c r="C84" s="749"/>
      <c r="D84" s="552"/>
      <c r="E84" s="572"/>
      <c r="F84" s="573"/>
      <c r="G84" s="573"/>
    </row>
    <row r="85" spans="1:7" ht="12.75">
      <c r="A85" s="571"/>
      <c r="B85" s="749"/>
      <c r="C85" s="749"/>
      <c r="D85" s="552"/>
      <c r="E85" s="572"/>
      <c r="F85" s="573"/>
      <c r="G85" s="573"/>
    </row>
    <row r="86" spans="1:7" ht="12.75">
      <c r="A86" s="552"/>
      <c r="B86" s="552" t="s">
        <v>666</v>
      </c>
      <c r="C86" s="552"/>
      <c r="D86" s="552">
        <v>50</v>
      </c>
      <c r="E86" s="572"/>
      <c r="F86" s="573"/>
      <c r="G86" s="573">
        <f t="shared" si="0"/>
        <v>0</v>
      </c>
    </row>
    <row r="87" spans="1:7" ht="12.75">
      <c r="A87" s="552"/>
      <c r="B87" s="552"/>
      <c r="C87" s="552"/>
      <c r="D87" s="552"/>
      <c r="E87" s="572"/>
      <c r="F87" s="573"/>
      <c r="G87" s="573"/>
    </row>
    <row r="88" spans="1:7" ht="12.75">
      <c r="A88" s="552"/>
      <c r="B88" s="552"/>
      <c r="C88" s="552"/>
      <c r="D88" s="552"/>
      <c r="E88" s="572"/>
      <c r="F88" s="573"/>
      <c r="G88" s="573"/>
    </row>
    <row r="89" spans="1:7" ht="12.75">
      <c r="A89" s="560" t="s">
        <v>667</v>
      </c>
      <c r="B89" s="570" t="s">
        <v>668</v>
      </c>
      <c r="C89" s="552"/>
      <c r="D89" s="552"/>
      <c r="E89" s="572"/>
      <c r="F89" s="573"/>
      <c r="G89" s="573"/>
    </row>
    <row r="90" spans="1:7" ht="12.75">
      <c r="A90" s="552"/>
      <c r="B90" s="552"/>
      <c r="C90" s="552"/>
      <c r="D90" s="552"/>
      <c r="E90" s="572"/>
      <c r="F90" s="573"/>
      <c r="G90" s="573"/>
    </row>
    <row r="91" spans="1:7" ht="12.75" customHeight="1">
      <c r="A91" s="571" t="s">
        <v>602</v>
      </c>
      <c r="B91" s="749" t="s">
        <v>669</v>
      </c>
      <c r="C91" s="749"/>
      <c r="D91" s="552"/>
      <c r="E91" s="572"/>
      <c r="F91" s="573"/>
      <c r="G91" s="573"/>
    </row>
    <row r="92" spans="1:7" ht="12.75">
      <c r="A92" s="552"/>
      <c r="B92" s="749"/>
      <c r="C92" s="749"/>
      <c r="D92" s="552"/>
      <c r="E92" s="572"/>
      <c r="F92" s="573"/>
      <c r="G92" s="573"/>
    </row>
    <row r="93" spans="1:7" ht="12.75">
      <c r="A93" s="552"/>
      <c r="B93" s="552" t="s">
        <v>182</v>
      </c>
      <c r="C93" s="552"/>
      <c r="D93" s="552">
        <v>1</v>
      </c>
      <c r="E93" s="572"/>
      <c r="F93" s="573"/>
      <c r="G93" s="573">
        <f t="shared" si="0"/>
        <v>0</v>
      </c>
    </row>
    <row r="94" spans="1:7" ht="12.75">
      <c r="A94" s="552"/>
      <c r="B94" s="552"/>
      <c r="C94" s="552"/>
      <c r="D94" s="552"/>
      <c r="E94" s="572"/>
      <c r="F94" s="573"/>
      <c r="G94" s="573"/>
    </row>
    <row r="95" spans="1:7" ht="12.75">
      <c r="A95" s="571" t="s">
        <v>602</v>
      </c>
      <c r="B95" s="749" t="s">
        <v>670</v>
      </c>
      <c r="C95" s="749"/>
      <c r="D95" s="552"/>
      <c r="E95" s="572"/>
      <c r="F95" s="573"/>
      <c r="G95" s="573"/>
    </row>
    <row r="96" spans="1:7" ht="12.75">
      <c r="A96" s="552"/>
      <c r="B96" s="749"/>
      <c r="C96" s="749"/>
      <c r="D96" s="552"/>
      <c r="E96" s="572"/>
      <c r="F96" s="573"/>
      <c r="G96" s="573"/>
    </row>
    <row r="97" spans="1:7" ht="12.75">
      <c r="A97" s="552"/>
      <c r="B97" s="552" t="s">
        <v>182</v>
      </c>
      <c r="C97" s="552"/>
      <c r="D97" s="552">
        <v>1</v>
      </c>
      <c r="E97" s="572"/>
      <c r="F97" s="573"/>
      <c r="G97" s="573">
        <f t="shared" si="0"/>
        <v>0</v>
      </c>
    </row>
    <row r="98" spans="1:7" ht="12.75">
      <c r="A98" s="552"/>
      <c r="B98" s="552"/>
      <c r="C98" s="552"/>
      <c r="D98" s="552"/>
      <c r="E98" s="552"/>
      <c r="F98" s="573"/>
      <c r="G98" s="573"/>
    </row>
    <row r="99" spans="1:7" ht="13.5" customHeight="1" thickBot="1">
      <c r="A99" s="552"/>
      <c r="B99" s="754" t="s">
        <v>671</v>
      </c>
      <c r="C99" s="754"/>
      <c r="D99" s="575"/>
      <c r="E99" s="576"/>
      <c r="F99" s="577"/>
      <c r="G99" s="577">
        <f>SUM(G67:G97)</f>
        <v>0</v>
      </c>
    </row>
    <row r="100" spans="1:7" ht="13.5" thickTop="1">
      <c r="A100" s="552"/>
      <c r="B100" s="552"/>
      <c r="C100" s="552"/>
      <c r="D100" s="552"/>
      <c r="E100" s="572"/>
      <c r="F100" s="573"/>
      <c r="G100" s="573"/>
    </row>
    <row r="101" spans="1:7" ht="12.75">
      <c r="A101" s="552"/>
      <c r="B101" s="552"/>
      <c r="C101" s="552"/>
      <c r="D101" s="552"/>
      <c r="E101" s="572"/>
      <c r="F101" s="573"/>
      <c r="G101" s="573"/>
    </row>
    <row r="102" spans="1:7" ht="12.75">
      <c r="A102" s="560" t="s">
        <v>672</v>
      </c>
      <c r="B102" s="753" t="s">
        <v>673</v>
      </c>
      <c r="C102" s="753"/>
      <c r="D102" s="552"/>
      <c r="E102" s="572"/>
      <c r="F102" s="573"/>
      <c r="G102" s="573"/>
    </row>
    <row r="103" spans="1:7" ht="13.5" thickBot="1">
      <c r="A103" s="560"/>
      <c r="B103" s="570"/>
      <c r="C103" s="570"/>
      <c r="D103" s="552"/>
      <c r="E103" s="572"/>
      <c r="F103" s="573"/>
      <c r="G103" s="573"/>
    </row>
    <row r="104" spans="1:7" ht="12.75">
      <c r="A104" s="561" t="s">
        <v>653</v>
      </c>
      <c r="B104" s="562" t="s">
        <v>654</v>
      </c>
      <c r="C104" s="562"/>
      <c r="D104" s="563" t="s">
        <v>655</v>
      </c>
      <c r="E104" s="562"/>
      <c r="F104" s="562"/>
      <c r="G104" s="564"/>
    </row>
    <row r="105" spans="1:7" ht="13.5" thickBot="1">
      <c r="A105" s="565"/>
      <c r="B105" s="566"/>
      <c r="C105" s="566"/>
      <c r="D105" s="566"/>
      <c r="E105" s="566"/>
      <c r="F105" s="567"/>
      <c r="G105" s="568"/>
    </row>
    <row r="106" spans="1:7" ht="12.75">
      <c r="A106" s="560"/>
      <c r="B106" s="570"/>
      <c r="C106" s="570"/>
      <c r="D106" s="552"/>
      <c r="E106" s="572"/>
      <c r="F106" s="573"/>
      <c r="G106" s="573"/>
    </row>
    <row r="107" spans="1:7" ht="12.75">
      <c r="A107" s="571" t="s">
        <v>602</v>
      </c>
      <c r="B107" s="749" t="s">
        <v>674</v>
      </c>
      <c r="C107" s="749"/>
      <c r="D107" s="552"/>
      <c r="E107" s="572"/>
      <c r="F107" s="573"/>
      <c r="G107" s="573"/>
    </row>
    <row r="108" spans="1:7" ht="12.75">
      <c r="A108" s="552"/>
      <c r="B108" s="749"/>
      <c r="C108" s="749"/>
      <c r="D108" s="552"/>
      <c r="E108" s="572"/>
      <c r="F108" s="573"/>
      <c r="G108" s="573"/>
    </row>
    <row r="109" spans="1:7" ht="12.75">
      <c r="A109" s="552"/>
      <c r="B109" s="552" t="s">
        <v>108</v>
      </c>
      <c r="C109" s="552"/>
      <c r="D109" s="552">
        <v>6</v>
      </c>
      <c r="E109" s="572"/>
      <c r="F109" s="573"/>
      <c r="G109" s="573">
        <f>D109*F109</f>
        <v>0</v>
      </c>
    </row>
    <row r="110" spans="1:7" ht="12.75">
      <c r="A110" s="552"/>
      <c r="B110" s="552"/>
      <c r="C110" s="552"/>
      <c r="D110" s="552"/>
      <c r="E110" s="572"/>
      <c r="F110" s="573"/>
      <c r="G110" s="573"/>
    </row>
    <row r="111" spans="1:7" ht="12.75">
      <c r="A111" s="552"/>
      <c r="B111" s="552"/>
      <c r="C111" s="552"/>
      <c r="D111" s="552"/>
      <c r="E111" s="572"/>
      <c r="F111" s="573"/>
      <c r="G111" s="573"/>
    </row>
    <row r="112" spans="1:7" ht="12.75">
      <c r="A112" s="552"/>
      <c r="B112" s="552"/>
      <c r="C112" s="552"/>
      <c r="D112" s="552"/>
      <c r="E112" s="572"/>
      <c r="F112" s="573"/>
      <c r="G112" s="573"/>
    </row>
    <row r="113" spans="1:7" ht="41.45" customHeight="1">
      <c r="A113" s="574" t="s">
        <v>602</v>
      </c>
      <c r="B113" s="749" t="s">
        <v>675</v>
      </c>
      <c r="C113" s="749"/>
      <c r="D113" s="552"/>
      <c r="E113" s="572"/>
      <c r="F113" s="573"/>
      <c r="G113" s="573"/>
    </row>
    <row r="114" spans="1:7" ht="12.75" customHeight="1">
      <c r="A114" s="552"/>
      <c r="B114" s="755" t="s">
        <v>676</v>
      </c>
      <c r="C114" s="755"/>
      <c r="D114" s="552"/>
      <c r="E114" s="572"/>
      <c r="F114" s="573"/>
      <c r="G114" s="573"/>
    </row>
    <row r="115" spans="1:7" ht="12.75">
      <c r="A115" s="552"/>
      <c r="B115" s="552" t="s">
        <v>108</v>
      </c>
      <c r="C115" s="552"/>
      <c r="D115" s="552">
        <v>15</v>
      </c>
      <c r="E115" s="572"/>
      <c r="F115" s="573"/>
      <c r="G115" s="573">
        <f t="shared" ref="G115:G134" si="1">D115*F115</f>
        <v>0</v>
      </c>
    </row>
    <row r="116" spans="1:7" ht="12.75">
      <c r="A116" s="552"/>
      <c r="B116" s="552"/>
      <c r="C116" s="552"/>
      <c r="D116" s="552"/>
      <c r="E116" s="572"/>
      <c r="F116" s="573"/>
      <c r="G116" s="573"/>
    </row>
    <row r="117" spans="1:7" ht="85.5" customHeight="1">
      <c r="A117" s="574" t="s">
        <v>602</v>
      </c>
      <c r="B117" s="749" t="s">
        <v>677</v>
      </c>
      <c r="C117" s="749"/>
      <c r="D117" s="552"/>
      <c r="E117" s="572"/>
      <c r="F117" s="573"/>
      <c r="G117" s="573"/>
    </row>
    <row r="118" spans="1:7" ht="12.75">
      <c r="A118" s="552"/>
      <c r="B118" s="552" t="s">
        <v>108</v>
      </c>
      <c r="C118" s="552"/>
      <c r="D118" s="552">
        <v>6</v>
      </c>
      <c r="E118" s="572"/>
      <c r="F118" s="573"/>
      <c r="G118" s="573">
        <f t="shared" si="1"/>
        <v>0</v>
      </c>
    </row>
    <row r="119" spans="1:7" ht="12.75">
      <c r="A119" s="552"/>
      <c r="B119" s="552"/>
      <c r="C119" s="552"/>
      <c r="D119" s="552"/>
      <c r="E119" s="572"/>
      <c r="F119" s="573"/>
      <c r="G119" s="573"/>
    </row>
    <row r="120" spans="1:7" ht="42.6" customHeight="1">
      <c r="A120" s="574" t="s">
        <v>602</v>
      </c>
      <c r="B120" s="749" t="s">
        <v>678</v>
      </c>
      <c r="C120" s="749"/>
      <c r="D120" s="552"/>
      <c r="E120" s="572"/>
      <c r="F120" s="573"/>
      <c r="G120" s="573"/>
    </row>
    <row r="121" spans="1:7" ht="12.75">
      <c r="A121" s="552"/>
      <c r="B121" s="755" t="s">
        <v>679</v>
      </c>
      <c r="C121" s="755"/>
      <c r="D121" s="552"/>
      <c r="E121" s="572"/>
      <c r="F121" s="573"/>
      <c r="G121" s="573"/>
    </row>
    <row r="122" spans="1:7" ht="12.75">
      <c r="A122" s="552"/>
      <c r="B122" s="552" t="s">
        <v>105</v>
      </c>
      <c r="C122" s="552"/>
      <c r="D122" s="552">
        <v>80</v>
      </c>
      <c r="E122" s="572"/>
      <c r="F122" s="573"/>
      <c r="G122" s="573">
        <f t="shared" si="1"/>
        <v>0</v>
      </c>
    </row>
    <row r="123" spans="1:7" ht="12.75">
      <c r="A123" s="571"/>
      <c r="B123" s="552"/>
      <c r="C123" s="552"/>
      <c r="D123" s="552"/>
      <c r="E123" s="572"/>
      <c r="F123" s="573"/>
      <c r="G123" s="573"/>
    </row>
    <row r="124" spans="1:7" ht="27.95" customHeight="1">
      <c r="A124" s="574" t="s">
        <v>602</v>
      </c>
      <c r="B124" s="749" t="s">
        <v>680</v>
      </c>
      <c r="C124" s="749"/>
      <c r="D124" s="552"/>
      <c r="E124" s="572"/>
      <c r="F124" s="573"/>
      <c r="G124" s="573"/>
    </row>
    <row r="125" spans="1:7" ht="12.75">
      <c r="A125" s="552"/>
      <c r="B125" s="552" t="s">
        <v>182</v>
      </c>
      <c r="C125" s="552"/>
      <c r="D125" s="552">
        <v>1</v>
      </c>
      <c r="E125" s="572"/>
      <c r="F125" s="573"/>
      <c r="G125" s="573">
        <f t="shared" si="1"/>
        <v>0</v>
      </c>
    </row>
    <row r="126" spans="1:7" ht="12.75">
      <c r="A126" s="552"/>
      <c r="B126" s="552"/>
      <c r="C126" s="552"/>
      <c r="D126" s="552"/>
      <c r="E126" s="572"/>
      <c r="F126" s="573"/>
      <c r="G126" s="573"/>
    </row>
    <row r="127" spans="1:7" ht="44.45" customHeight="1">
      <c r="A127" s="574" t="s">
        <v>602</v>
      </c>
      <c r="B127" s="749" t="s">
        <v>681</v>
      </c>
      <c r="C127" s="749"/>
      <c r="D127" s="560"/>
      <c r="E127" s="569"/>
      <c r="F127" s="569"/>
      <c r="G127" s="573"/>
    </row>
    <row r="128" spans="1:7" ht="12.75">
      <c r="A128" s="571"/>
      <c r="B128" s="552" t="s">
        <v>60</v>
      </c>
      <c r="C128" s="552"/>
      <c r="D128" s="552">
        <v>20</v>
      </c>
      <c r="E128" s="572"/>
      <c r="F128" s="573"/>
      <c r="G128" s="573">
        <f t="shared" si="1"/>
        <v>0</v>
      </c>
    </row>
    <row r="129" spans="1:7" ht="12.75">
      <c r="A129" s="571"/>
      <c r="B129" s="552"/>
      <c r="C129" s="552"/>
      <c r="D129" s="552"/>
      <c r="E129" s="572"/>
      <c r="F129" s="573"/>
      <c r="G129" s="573"/>
    </row>
    <row r="130" spans="1:7" ht="39" customHeight="1">
      <c r="A130" s="574" t="s">
        <v>602</v>
      </c>
      <c r="B130" s="749" t="s">
        <v>682</v>
      </c>
      <c r="C130" s="749"/>
      <c r="D130" s="578"/>
      <c r="E130" s="579"/>
      <c r="F130" s="580"/>
      <c r="G130" s="573"/>
    </row>
    <row r="131" spans="1:7">
      <c r="B131" s="558" t="s">
        <v>60</v>
      </c>
      <c r="C131" s="552"/>
      <c r="D131" s="552">
        <v>160</v>
      </c>
      <c r="E131" s="572"/>
      <c r="F131" s="573"/>
      <c r="G131" s="573">
        <f t="shared" si="1"/>
        <v>0</v>
      </c>
    </row>
    <row r="132" spans="1:7">
      <c r="B132" s="558"/>
      <c r="C132" s="552"/>
      <c r="D132" s="552"/>
      <c r="E132" s="572"/>
      <c r="F132" s="573"/>
      <c r="G132" s="573"/>
    </row>
    <row r="133" spans="1:7" ht="24" customHeight="1">
      <c r="A133" s="574" t="s">
        <v>602</v>
      </c>
      <c r="B133" s="749" t="s">
        <v>683</v>
      </c>
      <c r="C133" s="749"/>
      <c r="D133" s="578"/>
      <c r="E133" s="579"/>
      <c r="F133" s="580"/>
      <c r="G133" s="573"/>
    </row>
    <row r="134" spans="1:7">
      <c r="B134" s="558" t="s">
        <v>60</v>
      </c>
      <c r="C134" s="552"/>
      <c r="D134" s="552">
        <v>80</v>
      </c>
      <c r="E134" s="572"/>
      <c r="F134" s="573"/>
      <c r="G134" s="573">
        <f t="shared" si="1"/>
        <v>0</v>
      </c>
    </row>
    <row r="135" spans="1:7" ht="12.75">
      <c r="A135" s="552"/>
      <c r="B135" s="552"/>
      <c r="C135" s="552"/>
      <c r="D135" s="552"/>
      <c r="E135" s="572"/>
      <c r="F135" s="573"/>
      <c r="G135" s="573"/>
    </row>
    <row r="136" spans="1:7" ht="12.75">
      <c r="A136" s="571"/>
      <c r="B136" s="557"/>
      <c r="C136" s="557"/>
      <c r="D136" s="552"/>
      <c r="E136" s="572"/>
      <c r="F136" s="573"/>
      <c r="G136" s="573"/>
    </row>
    <row r="137" spans="1:7" ht="13.5" customHeight="1" thickBot="1">
      <c r="A137" s="552"/>
      <c r="B137" s="754" t="s">
        <v>492</v>
      </c>
      <c r="C137" s="754"/>
      <c r="D137" s="575"/>
      <c r="E137" s="576"/>
      <c r="F137" s="577"/>
      <c r="G137" s="577">
        <f>SUM(G109:G134)</f>
        <v>0</v>
      </c>
    </row>
    <row r="138" spans="1:7" ht="13.5" thickTop="1">
      <c r="A138" s="552"/>
      <c r="B138" s="581"/>
      <c r="C138" s="581"/>
      <c r="D138" s="582"/>
      <c r="E138" s="583"/>
      <c r="F138" s="584"/>
      <c r="G138" s="584"/>
    </row>
    <row r="139" spans="1:7" ht="12.75">
      <c r="A139" s="552"/>
      <c r="B139" s="581"/>
      <c r="C139" s="581"/>
      <c r="D139" s="582"/>
      <c r="E139" s="583"/>
      <c r="F139" s="584"/>
      <c r="G139" s="584"/>
    </row>
    <row r="140" spans="1:7" ht="12.75">
      <c r="A140" s="552"/>
      <c r="B140" s="581"/>
      <c r="C140" s="581"/>
      <c r="D140" s="582"/>
      <c r="E140" s="583"/>
      <c r="F140" s="584"/>
      <c r="G140" s="584"/>
    </row>
    <row r="141" spans="1:7" ht="12.75">
      <c r="A141" s="552"/>
      <c r="B141" s="581"/>
      <c r="C141" s="581"/>
      <c r="D141" s="582"/>
      <c r="E141" s="583"/>
      <c r="F141" s="584"/>
      <c r="G141" s="584"/>
    </row>
    <row r="142" spans="1:7" ht="12.75">
      <c r="A142" s="552"/>
      <c r="B142" s="581"/>
      <c r="C142" s="581"/>
      <c r="D142" s="582"/>
      <c r="E142" s="583"/>
      <c r="F142" s="584"/>
      <c r="G142" s="584"/>
    </row>
    <row r="143" spans="1:7" ht="12.75">
      <c r="A143" s="560" t="s">
        <v>684</v>
      </c>
      <c r="B143" s="753" t="s">
        <v>685</v>
      </c>
      <c r="C143" s="753"/>
      <c r="D143" s="753"/>
      <c r="E143" s="572"/>
      <c r="F143" s="573"/>
      <c r="G143" s="573"/>
    </row>
    <row r="144" spans="1:7" ht="13.5" thickBot="1">
      <c r="A144" s="560"/>
      <c r="B144" s="570"/>
      <c r="C144" s="570"/>
      <c r="D144" s="570"/>
      <c r="E144" s="572"/>
      <c r="F144" s="573"/>
      <c r="G144" s="573"/>
    </row>
    <row r="145" spans="1:7" ht="12.75">
      <c r="A145" s="561" t="s">
        <v>653</v>
      </c>
      <c r="B145" s="562" t="s">
        <v>654</v>
      </c>
      <c r="C145" s="562"/>
      <c r="D145" s="563" t="s">
        <v>655</v>
      </c>
      <c r="E145" s="562"/>
      <c r="F145" s="562"/>
      <c r="G145" s="564"/>
    </row>
    <row r="146" spans="1:7" ht="13.5" thickBot="1">
      <c r="A146" s="565"/>
      <c r="B146" s="566"/>
      <c r="C146" s="566"/>
      <c r="D146" s="566"/>
      <c r="E146" s="566"/>
      <c r="F146" s="567"/>
      <c r="G146" s="568"/>
    </row>
    <row r="147" spans="1:7" ht="12.75">
      <c r="A147" s="552"/>
      <c r="B147" s="552"/>
      <c r="C147" s="552"/>
      <c r="D147" s="552"/>
      <c r="E147" s="572"/>
      <c r="F147" s="573"/>
      <c r="G147" s="573"/>
    </row>
    <row r="148" spans="1:7" ht="41.1" customHeight="1">
      <c r="A148" s="574" t="s">
        <v>602</v>
      </c>
      <c r="B148" s="749" t="s">
        <v>686</v>
      </c>
      <c r="C148" s="749"/>
      <c r="D148" s="552"/>
      <c r="E148" s="552"/>
      <c r="F148" s="573"/>
      <c r="G148" s="573"/>
    </row>
    <row r="149" spans="1:7" ht="12.75">
      <c r="A149" s="571"/>
      <c r="B149" s="552" t="s">
        <v>60</v>
      </c>
      <c r="C149" s="552"/>
      <c r="D149" s="552">
        <v>80</v>
      </c>
      <c r="E149" s="552"/>
      <c r="F149" s="573"/>
      <c r="G149" s="573">
        <f>D149*F149</f>
        <v>0</v>
      </c>
    </row>
    <row r="150" spans="1:7" ht="12.75">
      <c r="A150" s="571"/>
      <c r="B150" s="552"/>
      <c r="C150" s="552"/>
      <c r="D150" s="552"/>
      <c r="E150" s="552"/>
      <c r="F150" s="573"/>
      <c r="G150" s="573"/>
    </row>
    <row r="151" spans="1:7" ht="39" customHeight="1">
      <c r="A151" s="574" t="s">
        <v>602</v>
      </c>
      <c r="B151" s="749" t="s">
        <v>687</v>
      </c>
      <c r="C151" s="749"/>
      <c r="D151" s="552"/>
      <c r="E151" s="552"/>
      <c r="F151" s="573"/>
      <c r="G151" s="573"/>
    </row>
    <row r="152" spans="1:7" ht="12.75">
      <c r="A152" s="571"/>
      <c r="B152" s="552" t="s">
        <v>60</v>
      </c>
      <c r="C152" s="552"/>
      <c r="D152" s="552">
        <v>800</v>
      </c>
      <c r="E152" s="552"/>
      <c r="F152" s="573"/>
      <c r="G152" s="573">
        <f t="shared" ref="G152:G181" si="2">D152*F152</f>
        <v>0</v>
      </c>
    </row>
    <row r="153" spans="1:7" ht="12.75">
      <c r="A153" s="571"/>
      <c r="B153" s="552"/>
      <c r="C153" s="552"/>
      <c r="D153" s="552"/>
      <c r="E153" s="572"/>
      <c r="F153" s="573"/>
      <c r="G153" s="573"/>
    </row>
    <row r="154" spans="1:7" ht="52.15" customHeight="1">
      <c r="A154" s="574" t="s">
        <v>602</v>
      </c>
      <c r="B154" s="757" t="s">
        <v>688</v>
      </c>
      <c r="C154" s="757"/>
      <c r="D154" s="552"/>
      <c r="E154" s="572"/>
      <c r="F154" s="573"/>
      <c r="G154" s="573"/>
    </row>
    <row r="155" spans="1:7" ht="12.75">
      <c r="A155" s="571"/>
      <c r="B155" s="552" t="s">
        <v>182</v>
      </c>
      <c r="C155" s="552"/>
      <c r="D155" s="552">
        <v>1</v>
      </c>
      <c r="E155" s="572"/>
      <c r="F155" s="573"/>
      <c r="G155" s="573">
        <f t="shared" si="2"/>
        <v>0</v>
      </c>
    </row>
    <row r="156" spans="1:7" ht="12.75">
      <c r="A156" s="571"/>
      <c r="B156" s="552"/>
      <c r="C156" s="552"/>
      <c r="D156" s="552"/>
      <c r="E156" s="572"/>
      <c r="F156" s="573"/>
      <c r="G156" s="573"/>
    </row>
    <row r="157" spans="1:7" ht="12.75" customHeight="1">
      <c r="A157" s="571" t="s">
        <v>602</v>
      </c>
      <c r="B157" s="757" t="s">
        <v>689</v>
      </c>
      <c r="C157" s="757"/>
      <c r="D157" s="552"/>
      <c r="E157" s="572"/>
      <c r="F157" s="573"/>
      <c r="G157" s="573"/>
    </row>
    <row r="158" spans="1:7" ht="12.75">
      <c r="A158" s="552"/>
      <c r="B158" s="757"/>
      <c r="C158" s="757"/>
      <c r="D158" s="552"/>
      <c r="E158" s="572"/>
      <c r="F158" s="573"/>
      <c r="G158" s="573"/>
    </row>
    <row r="159" spans="1:7" ht="12.75">
      <c r="A159" s="552"/>
      <c r="B159" s="757"/>
      <c r="C159" s="757"/>
      <c r="D159" s="552"/>
      <c r="E159" s="572"/>
      <c r="F159" s="573"/>
      <c r="G159" s="573"/>
    </row>
    <row r="160" spans="1:7" ht="12.75">
      <c r="A160" s="571"/>
      <c r="B160" s="552" t="s">
        <v>182</v>
      </c>
      <c r="C160" s="552"/>
      <c r="D160" s="552">
        <v>1</v>
      </c>
      <c r="E160" s="572"/>
      <c r="F160" s="573"/>
      <c r="G160" s="573">
        <f t="shared" si="2"/>
        <v>0</v>
      </c>
    </row>
    <row r="161" spans="1:7" ht="12.75">
      <c r="A161" s="571"/>
      <c r="B161" s="552"/>
      <c r="C161" s="552"/>
      <c r="D161" s="552"/>
      <c r="E161" s="572"/>
      <c r="F161" s="573"/>
      <c r="G161" s="573"/>
    </row>
    <row r="162" spans="1:7" ht="37.5" customHeight="1">
      <c r="A162" s="574" t="s">
        <v>602</v>
      </c>
      <c r="B162" s="749" t="s">
        <v>690</v>
      </c>
      <c r="C162" s="749"/>
      <c r="D162" s="560"/>
      <c r="E162" s="569"/>
      <c r="F162" s="569"/>
      <c r="G162" s="573"/>
    </row>
    <row r="163" spans="1:7" ht="12.75">
      <c r="A163" s="571"/>
      <c r="B163" s="552" t="s">
        <v>190</v>
      </c>
      <c r="C163" s="552"/>
      <c r="D163" s="552">
        <v>2</v>
      </c>
      <c r="E163" s="572"/>
      <c r="F163" s="573"/>
      <c r="G163" s="573">
        <f t="shared" si="2"/>
        <v>0</v>
      </c>
    </row>
    <row r="164" spans="1:7" ht="12.75">
      <c r="A164" s="571"/>
      <c r="B164" s="552"/>
      <c r="C164" s="552"/>
      <c r="D164" s="552"/>
      <c r="E164" s="572"/>
      <c r="F164" s="573"/>
      <c r="G164" s="573"/>
    </row>
    <row r="165" spans="1:7" ht="57.95" customHeight="1">
      <c r="A165" s="585" t="s">
        <v>602</v>
      </c>
      <c r="B165" s="749" t="s">
        <v>691</v>
      </c>
      <c r="C165" s="749"/>
      <c r="D165" s="552"/>
      <c r="E165" s="552"/>
      <c r="F165" s="573"/>
      <c r="G165" s="573"/>
    </row>
    <row r="166" spans="1:7" ht="12.75">
      <c r="A166" s="552"/>
      <c r="B166" s="552" t="s">
        <v>182</v>
      </c>
      <c r="C166" s="552"/>
      <c r="D166" s="552">
        <v>1</v>
      </c>
      <c r="E166" s="552"/>
      <c r="F166" s="573"/>
      <c r="G166" s="573">
        <f t="shared" si="2"/>
        <v>0</v>
      </c>
    </row>
    <row r="167" spans="1:7" ht="12.75">
      <c r="A167" s="552"/>
      <c r="B167" s="558"/>
      <c r="C167" s="552"/>
      <c r="D167" s="552"/>
      <c r="E167" s="572"/>
      <c r="F167" s="573"/>
      <c r="G167" s="573"/>
    </row>
    <row r="168" spans="1:7" ht="24" customHeight="1">
      <c r="A168" s="656" t="s">
        <v>602</v>
      </c>
      <c r="B168" s="657" t="s">
        <v>692</v>
      </c>
      <c r="C168" s="658"/>
      <c r="D168" s="659"/>
      <c r="E168" s="660"/>
      <c r="F168" s="661"/>
      <c r="G168" s="661"/>
    </row>
    <row r="169" spans="1:7" ht="60.95" customHeight="1">
      <c r="A169" s="662"/>
      <c r="B169" s="758" t="s">
        <v>693</v>
      </c>
      <c r="C169" s="758"/>
      <c r="D169" s="758"/>
      <c r="E169" s="659"/>
      <c r="F169" s="659"/>
      <c r="G169" s="661"/>
    </row>
    <row r="170" spans="1:7" ht="12.75">
      <c r="A170" s="657"/>
      <c r="B170" s="758" t="s">
        <v>694</v>
      </c>
      <c r="C170" s="758"/>
      <c r="D170" s="659"/>
      <c r="E170" s="659"/>
      <c r="F170" s="659"/>
      <c r="G170" s="661"/>
    </row>
    <row r="171" spans="1:7" ht="12.75">
      <c r="A171" s="657"/>
      <c r="B171" s="758"/>
      <c r="C171" s="758"/>
      <c r="D171" s="657"/>
      <c r="E171" s="659"/>
      <c r="F171" s="659"/>
      <c r="G171" s="661"/>
    </row>
    <row r="172" spans="1:7" ht="12.75" customHeight="1">
      <c r="A172" s="657"/>
      <c r="B172" s="758"/>
      <c r="C172" s="758"/>
      <c r="D172" s="662"/>
      <c r="E172" s="662">
        <v>1</v>
      </c>
      <c r="F172" s="659"/>
      <c r="G172" s="661"/>
    </row>
    <row r="173" spans="1:7" ht="43.5" customHeight="1">
      <c r="A173" s="656"/>
      <c r="B173" s="756" t="s">
        <v>695</v>
      </c>
      <c r="C173" s="756"/>
      <c r="D173" s="657"/>
      <c r="E173" s="662" t="s">
        <v>696</v>
      </c>
      <c r="F173" s="659"/>
      <c r="G173" s="661"/>
    </row>
    <row r="174" spans="1:7" ht="12.75">
      <c r="A174" s="656"/>
      <c r="B174" s="758" t="s">
        <v>697</v>
      </c>
      <c r="C174" s="758"/>
      <c r="D174" s="657"/>
      <c r="E174" s="662" t="s">
        <v>698</v>
      </c>
      <c r="F174" s="659"/>
      <c r="G174" s="661"/>
    </row>
    <row r="175" spans="1:7" ht="12.75">
      <c r="A175" s="656"/>
      <c r="B175" s="758"/>
      <c r="C175" s="758"/>
      <c r="D175" s="657"/>
      <c r="E175" s="662"/>
      <c r="F175" s="659"/>
      <c r="G175" s="661"/>
    </row>
    <row r="176" spans="1:7" ht="87.6" customHeight="1">
      <c r="A176" s="656"/>
      <c r="B176" s="758" t="s">
        <v>699</v>
      </c>
      <c r="C176" s="758"/>
      <c r="D176" s="657"/>
      <c r="E176" s="662" t="s">
        <v>698</v>
      </c>
      <c r="F176" s="659"/>
      <c r="G176" s="661"/>
    </row>
    <row r="177" spans="1:7" ht="12.75">
      <c r="A177" s="656"/>
      <c r="B177" s="663" t="s">
        <v>700</v>
      </c>
      <c r="C177" s="663"/>
      <c r="D177" s="657"/>
      <c r="E177" s="662" t="s">
        <v>701</v>
      </c>
      <c r="F177" s="659"/>
      <c r="G177" s="661"/>
    </row>
    <row r="178" spans="1:7" ht="12.75">
      <c r="A178" s="656"/>
      <c r="B178" s="657" t="s">
        <v>702</v>
      </c>
      <c r="C178" s="664"/>
      <c r="D178" s="657"/>
      <c r="E178" s="662" t="s">
        <v>703</v>
      </c>
      <c r="F178" s="659"/>
      <c r="G178" s="661"/>
    </row>
    <row r="179" spans="1:7" ht="12.75">
      <c r="A179" s="656"/>
      <c r="B179" s="657" t="s">
        <v>704</v>
      </c>
      <c r="C179" s="657"/>
      <c r="D179" s="657"/>
      <c r="E179" s="665">
        <v>0.1</v>
      </c>
      <c r="F179" s="659"/>
      <c r="G179" s="661"/>
    </row>
    <row r="180" spans="1:7" ht="12.75">
      <c r="A180" s="656"/>
      <c r="B180" s="666"/>
      <c r="C180" s="666"/>
      <c r="D180" s="666"/>
      <c r="E180" s="667"/>
      <c r="F180" s="668"/>
      <c r="G180" s="661"/>
    </row>
    <row r="181" spans="1:7" ht="12.75">
      <c r="A181" s="571"/>
      <c r="B181" s="586" t="s">
        <v>190</v>
      </c>
      <c r="C181" s="552"/>
      <c r="D181" s="552">
        <v>1</v>
      </c>
      <c r="E181" s="560"/>
      <c r="F181" s="569"/>
      <c r="G181" s="573">
        <f t="shared" si="2"/>
        <v>0</v>
      </c>
    </row>
    <row r="182" spans="1:7" ht="12.75">
      <c r="A182" s="571"/>
      <c r="B182" s="586"/>
      <c r="C182" s="552"/>
      <c r="D182" s="552"/>
      <c r="E182" s="560"/>
      <c r="F182" s="569"/>
      <c r="G182" s="573"/>
    </row>
    <row r="183" spans="1:7" ht="12.75">
      <c r="A183" s="571"/>
      <c r="B183" s="586"/>
      <c r="C183" s="552"/>
      <c r="D183" s="552"/>
      <c r="E183" s="560"/>
      <c r="F183" s="569"/>
      <c r="G183" s="573"/>
    </row>
    <row r="184" spans="1:7" ht="12.75">
      <c r="A184" s="552"/>
      <c r="B184" s="557"/>
      <c r="C184" s="557"/>
      <c r="D184" s="552"/>
      <c r="E184" s="572"/>
      <c r="F184" s="573"/>
      <c r="G184" s="573"/>
    </row>
    <row r="185" spans="1:7" ht="12.75" customHeight="1" thickBot="1">
      <c r="A185" s="552"/>
      <c r="B185" s="760" t="s">
        <v>705</v>
      </c>
      <c r="C185" s="760"/>
      <c r="D185" s="760"/>
      <c r="E185" s="760"/>
      <c r="F185" s="760"/>
      <c r="G185" s="587">
        <f>SUM(G149:G181)</f>
        <v>0</v>
      </c>
    </row>
    <row r="186" spans="1:7" ht="13.5" thickTop="1">
      <c r="A186" s="552"/>
      <c r="B186" s="552"/>
      <c r="C186" s="552"/>
      <c r="D186" s="552"/>
      <c r="E186" s="572"/>
      <c r="F186" s="573"/>
      <c r="G186" s="573"/>
    </row>
    <row r="187" spans="1:7" ht="12.75">
      <c r="A187" s="552"/>
      <c r="B187" s="552"/>
      <c r="C187" s="552"/>
      <c r="D187" s="552"/>
      <c r="E187" s="572"/>
      <c r="F187" s="573"/>
      <c r="G187" s="573"/>
    </row>
    <row r="188" spans="1:7" ht="12.75">
      <c r="A188" s="552"/>
      <c r="B188" s="552"/>
      <c r="C188" s="552"/>
      <c r="D188" s="552"/>
      <c r="E188" s="572"/>
      <c r="F188" s="573"/>
      <c r="G188" s="573"/>
    </row>
    <row r="189" spans="1:7" ht="12.75">
      <c r="A189" s="552"/>
      <c r="B189" s="552"/>
      <c r="C189" s="552"/>
      <c r="D189" s="552"/>
      <c r="E189" s="572"/>
      <c r="F189" s="573"/>
      <c r="G189" s="573"/>
    </row>
    <row r="190" spans="1:7" ht="12.75">
      <c r="A190" s="552"/>
      <c r="B190" s="552"/>
      <c r="C190" s="552"/>
      <c r="D190" s="552"/>
      <c r="E190" s="572"/>
      <c r="F190" s="573"/>
      <c r="G190" s="573"/>
    </row>
    <row r="191" spans="1:7" ht="12.75">
      <c r="A191" s="552"/>
      <c r="B191" s="552"/>
      <c r="C191" s="552"/>
      <c r="D191" s="552"/>
      <c r="E191" s="572"/>
      <c r="F191" s="573"/>
      <c r="G191" s="573"/>
    </row>
    <row r="192" spans="1:7" ht="12.75">
      <c r="A192" s="552"/>
      <c r="B192" s="552"/>
      <c r="C192" s="552"/>
      <c r="D192" s="552"/>
      <c r="E192" s="572"/>
      <c r="F192" s="573"/>
      <c r="G192" s="573"/>
    </row>
    <row r="193" spans="1:7" ht="12.75">
      <c r="A193" s="552"/>
      <c r="B193" s="552"/>
      <c r="C193" s="552"/>
      <c r="D193" s="552"/>
      <c r="E193" s="572"/>
      <c r="F193" s="573"/>
      <c r="G193" s="573"/>
    </row>
    <row r="194" spans="1:7" ht="12.75">
      <c r="A194" s="552"/>
      <c r="B194" s="552"/>
      <c r="C194" s="552"/>
      <c r="D194" s="552"/>
      <c r="E194" s="572"/>
      <c r="F194" s="573"/>
      <c r="G194" s="573"/>
    </row>
    <row r="195" spans="1:7" ht="12.75">
      <c r="A195" s="552"/>
      <c r="B195" s="552"/>
      <c r="C195" s="552"/>
      <c r="D195" s="552"/>
      <c r="E195" s="572"/>
      <c r="F195" s="573"/>
      <c r="G195" s="573"/>
    </row>
    <row r="196" spans="1:7" ht="12.75">
      <c r="A196" s="552"/>
      <c r="B196" s="552"/>
      <c r="C196" s="552"/>
      <c r="D196" s="552"/>
      <c r="E196" s="572"/>
      <c r="F196" s="573"/>
      <c r="G196" s="573"/>
    </row>
    <row r="197" spans="1:7" ht="12.75">
      <c r="A197" s="552"/>
      <c r="B197" s="552"/>
      <c r="C197" s="552"/>
      <c r="D197" s="552"/>
      <c r="E197" s="572"/>
      <c r="F197" s="573"/>
      <c r="G197" s="573"/>
    </row>
    <row r="198" spans="1:7" ht="12.75">
      <c r="A198" s="552"/>
      <c r="B198" s="552"/>
      <c r="C198" s="552"/>
      <c r="D198" s="552"/>
      <c r="E198" s="572"/>
      <c r="F198" s="573"/>
      <c r="G198" s="573"/>
    </row>
    <row r="199" spans="1:7" ht="12.75">
      <c r="A199" s="552"/>
      <c r="B199" s="552"/>
      <c r="C199" s="552"/>
      <c r="D199" s="552"/>
      <c r="E199" s="572"/>
      <c r="F199" s="573"/>
      <c r="G199" s="573"/>
    </row>
    <row r="200" spans="1:7" ht="12.75">
      <c r="A200" s="552"/>
      <c r="B200" s="552"/>
      <c r="C200" s="552"/>
      <c r="D200" s="552"/>
      <c r="E200" s="572"/>
      <c r="F200" s="573"/>
      <c r="G200" s="573"/>
    </row>
    <row r="201" spans="1:7" ht="12.75">
      <c r="A201" s="552"/>
      <c r="B201" s="552"/>
      <c r="C201" s="552"/>
      <c r="D201" s="552"/>
      <c r="E201" s="572"/>
      <c r="F201" s="573"/>
      <c r="G201" s="573"/>
    </row>
    <row r="202" spans="1:7" ht="12.75">
      <c r="A202" s="552"/>
      <c r="B202" s="552"/>
      <c r="C202" s="552"/>
      <c r="D202" s="552"/>
      <c r="E202" s="572"/>
      <c r="F202" s="573"/>
      <c r="G202" s="573"/>
    </row>
    <row r="203" spans="1:7" ht="12.75">
      <c r="A203" s="552"/>
      <c r="B203" s="552"/>
      <c r="C203" s="552"/>
      <c r="D203" s="552"/>
      <c r="E203" s="572"/>
      <c r="F203" s="573"/>
      <c r="G203" s="573"/>
    </row>
    <row r="204" spans="1:7" ht="12.75">
      <c r="A204" s="552"/>
      <c r="B204" s="552"/>
      <c r="C204" s="552"/>
      <c r="D204" s="552"/>
      <c r="E204" s="572"/>
      <c r="F204" s="573"/>
      <c r="G204" s="573"/>
    </row>
    <row r="205" spans="1:7" ht="12.75">
      <c r="A205" s="552"/>
      <c r="B205" s="552"/>
      <c r="C205" s="552"/>
      <c r="D205" s="552"/>
      <c r="E205" s="572"/>
      <c r="F205" s="573"/>
      <c r="G205" s="573"/>
    </row>
    <row r="206" spans="1:7" ht="12.75">
      <c r="A206" s="552"/>
      <c r="B206" s="552"/>
      <c r="C206" s="552"/>
      <c r="D206" s="552"/>
      <c r="E206" s="572"/>
      <c r="F206" s="573"/>
      <c r="G206" s="573"/>
    </row>
    <row r="207" spans="1:7" ht="12.75">
      <c r="A207" s="552"/>
      <c r="B207" s="552"/>
      <c r="C207" s="552"/>
      <c r="D207" s="552"/>
      <c r="E207" s="572"/>
      <c r="F207" s="573"/>
      <c r="G207" s="573"/>
    </row>
    <row r="208" spans="1:7" ht="12.75">
      <c r="A208" s="552"/>
      <c r="B208" s="552"/>
      <c r="C208" s="552"/>
      <c r="D208" s="552"/>
      <c r="E208" s="572"/>
      <c r="F208" s="573"/>
      <c r="G208" s="573"/>
    </row>
    <row r="209" spans="1:7" ht="12.75">
      <c r="A209" s="552"/>
      <c r="B209" s="552"/>
      <c r="C209" s="552"/>
      <c r="D209" s="552"/>
      <c r="E209" s="572"/>
      <c r="F209" s="573"/>
      <c r="G209" s="573"/>
    </row>
    <row r="210" spans="1:7" ht="12.75">
      <c r="A210" s="552"/>
      <c r="B210" s="552"/>
      <c r="C210" s="552"/>
      <c r="D210" s="552"/>
      <c r="E210" s="572"/>
      <c r="F210" s="573"/>
      <c r="G210" s="573"/>
    </row>
    <row r="211" spans="1:7" ht="12.75">
      <c r="A211" s="552"/>
      <c r="B211" s="552"/>
      <c r="C211" s="552"/>
      <c r="D211" s="552"/>
      <c r="E211" s="572"/>
      <c r="F211" s="573"/>
      <c r="G211" s="573"/>
    </row>
    <row r="212" spans="1:7" ht="12.75">
      <c r="A212" s="552"/>
      <c r="B212" s="552"/>
      <c r="C212" s="552"/>
      <c r="D212" s="552"/>
      <c r="E212" s="572"/>
      <c r="F212" s="573"/>
      <c r="G212" s="573"/>
    </row>
    <row r="213" spans="1:7" ht="12.75">
      <c r="A213" s="552"/>
      <c r="B213" s="552"/>
      <c r="C213" s="552"/>
      <c r="D213" s="552"/>
      <c r="E213" s="572"/>
      <c r="F213" s="573"/>
      <c r="G213" s="573"/>
    </row>
    <row r="214" spans="1:7" ht="12.75">
      <c r="A214" s="552"/>
      <c r="B214" s="552"/>
      <c r="C214" s="552"/>
      <c r="D214" s="552"/>
      <c r="E214" s="572"/>
      <c r="F214" s="573"/>
      <c r="G214" s="573"/>
    </row>
    <row r="215" spans="1:7" ht="12.75">
      <c r="A215" s="552"/>
      <c r="B215" s="552"/>
      <c r="C215" s="552"/>
      <c r="D215" s="552"/>
      <c r="E215" s="572"/>
      <c r="F215" s="573"/>
      <c r="G215" s="573"/>
    </row>
    <row r="216" spans="1:7" ht="12.75">
      <c r="A216" s="552"/>
      <c r="B216" s="552"/>
      <c r="C216" s="552"/>
      <c r="D216" s="552"/>
      <c r="E216" s="572"/>
      <c r="F216" s="573"/>
      <c r="G216" s="573"/>
    </row>
    <row r="217" spans="1:7" ht="22.5" customHeight="1">
      <c r="A217" s="761"/>
      <c r="B217" s="761"/>
      <c r="C217" s="761"/>
      <c r="D217" s="761"/>
      <c r="E217" s="761"/>
      <c r="F217" s="761"/>
      <c r="G217" s="761"/>
    </row>
    <row r="218" spans="1:7">
      <c r="A218" s="588"/>
      <c r="B218" s="588"/>
      <c r="C218" s="588"/>
      <c r="D218" s="588"/>
      <c r="E218" s="588"/>
      <c r="F218" s="588"/>
      <c r="G218" s="588"/>
    </row>
    <row r="219" spans="1:7">
      <c r="E219" s="551"/>
      <c r="F219" s="551"/>
      <c r="G219" s="551"/>
    </row>
    <row r="220" spans="1:7" ht="15.6" customHeight="1">
      <c r="A220" s="588"/>
      <c r="B220" s="759"/>
      <c r="C220" s="759"/>
      <c r="E220" s="551"/>
      <c r="F220" s="551"/>
    </row>
    <row r="221" spans="1:7">
      <c r="E221" s="551"/>
      <c r="F221" s="551"/>
      <c r="G221" s="551"/>
    </row>
    <row r="222" spans="1:7" ht="15.6" customHeight="1">
      <c r="A222" s="588"/>
      <c r="B222" s="759"/>
      <c r="C222" s="759"/>
      <c r="E222" s="551"/>
      <c r="F222" s="551"/>
    </row>
    <row r="223" spans="1:7" ht="15.75">
      <c r="A223" s="588"/>
      <c r="B223" s="590"/>
      <c r="C223" s="590"/>
      <c r="E223" s="551"/>
      <c r="F223" s="551"/>
    </row>
    <row r="224" spans="1:7" ht="17.45" customHeight="1">
      <c r="A224" s="588"/>
      <c r="B224" s="751"/>
      <c r="C224" s="751"/>
      <c r="D224" s="751"/>
      <c r="E224" s="751"/>
      <c r="F224" s="751"/>
    </row>
    <row r="225" spans="2:7" ht="16.5" thickBot="1">
      <c r="B225" s="591"/>
      <c r="C225" s="591"/>
      <c r="D225" s="591"/>
      <c r="E225" s="591"/>
      <c r="F225" s="591"/>
      <c r="G225" s="592"/>
    </row>
    <row r="226" spans="2:7" ht="18" customHeight="1" thickTop="1">
      <c r="E226" s="551"/>
      <c r="F226" s="551"/>
    </row>
    <row r="227" spans="2:7" ht="15.95" customHeight="1">
      <c r="E227" s="551"/>
      <c r="F227" s="551"/>
    </row>
    <row r="228" spans="2:7" ht="15.75" thickBot="1">
      <c r="B228" s="593"/>
      <c r="C228" s="593"/>
      <c r="D228" s="593"/>
      <c r="E228" s="593"/>
      <c r="F228" s="593"/>
      <c r="G228" s="593"/>
    </row>
    <row r="229" spans="2:7" ht="18" customHeight="1">
      <c r="B229" s="555"/>
      <c r="C229" s="555"/>
      <c r="D229" s="555"/>
      <c r="E229" s="555"/>
      <c r="F229" s="555"/>
      <c r="G229" s="594"/>
    </row>
  </sheetData>
  <sheetProtection selectLockedCells="1" selectUnlockedCells="1"/>
  <mergeCells count="46">
    <mergeCell ref="B222:C222"/>
    <mergeCell ref="B224:F224"/>
    <mergeCell ref="B174:C174"/>
    <mergeCell ref="B175:C175"/>
    <mergeCell ref="B176:C176"/>
    <mergeCell ref="B185:F185"/>
    <mergeCell ref="A217:G217"/>
    <mergeCell ref="B220:C220"/>
    <mergeCell ref="B173:C173"/>
    <mergeCell ref="B148:C148"/>
    <mergeCell ref="B151:C151"/>
    <mergeCell ref="B154:C154"/>
    <mergeCell ref="B157:C159"/>
    <mergeCell ref="B162:C162"/>
    <mergeCell ref="B165:C165"/>
    <mergeCell ref="B169:D169"/>
    <mergeCell ref="B170:C172"/>
    <mergeCell ref="B143:D143"/>
    <mergeCell ref="B113:C113"/>
    <mergeCell ref="B114:C114"/>
    <mergeCell ref="B117:C117"/>
    <mergeCell ref="B120:C120"/>
    <mergeCell ref="B121:C121"/>
    <mergeCell ref="B124:C124"/>
    <mergeCell ref="B127:C127"/>
    <mergeCell ref="B130:C130"/>
    <mergeCell ref="B133:C133"/>
    <mergeCell ref="B137:C137"/>
    <mergeCell ref="B107:C108"/>
    <mergeCell ref="B31:F31"/>
    <mergeCell ref="B57:C57"/>
    <mergeCell ref="B65:C66"/>
    <mergeCell ref="B69:C70"/>
    <mergeCell ref="B73:C73"/>
    <mergeCell ref="B76:C77"/>
    <mergeCell ref="B83:C85"/>
    <mergeCell ref="B91:C92"/>
    <mergeCell ref="B95:C96"/>
    <mergeCell ref="B99:C99"/>
    <mergeCell ref="B102:C102"/>
    <mergeCell ref="B26:F28"/>
    <mergeCell ref="B2:G2"/>
    <mergeCell ref="B3:F5"/>
    <mergeCell ref="B6:F6"/>
    <mergeCell ref="C10:F11"/>
    <mergeCell ref="C16:F19"/>
  </mergeCells>
  <pageMargins left="0.70866141732283472" right="0.70866141732283472" top="0.74803149606299213" bottom="0.74803149606299213" header="0.31496062992125984" footer="0.31496062992125984"/>
  <pageSetup paperSize="9" firstPageNumber="0" orientation="portrait" r:id="rId1"/>
  <headerFooter>
    <oddHeader>&amp;CProjekt Dolenje in Gorenje Ponikve:
Kanalizacija, rekonstrukcija vodovoda in pločnik med naseljema</oddHeader>
    <oddFooter>&amp;R&amp;P/&amp;N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52"/>
  <sheetViews>
    <sheetView workbookViewId="0">
      <selection activeCell="G24" sqref="G24"/>
    </sheetView>
  </sheetViews>
  <sheetFormatPr defaultRowHeight="12.75"/>
  <cols>
    <col min="1" max="1" width="55.28515625" style="670" customWidth="1"/>
    <col min="2" max="2" width="19.42578125" style="259" customWidth="1"/>
    <col min="3" max="3" width="14.28515625" style="693" customWidth="1"/>
    <col min="4" max="4" width="15.140625" style="259" customWidth="1"/>
    <col min="5" max="5" width="13.42578125" style="693" bestFit="1" customWidth="1"/>
    <col min="6" max="6" width="12.42578125" style="259" bestFit="1" customWidth="1"/>
    <col min="7" max="7" width="9.140625" style="697"/>
    <col min="8" max="10" width="9.140625" style="695"/>
  </cols>
  <sheetData>
    <row r="1" spans="1:16">
      <c r="A1" s="669"/>
    </row>
    <row r="5" spans="1:16">
      <c r="B5" s="671" t="str">
        <f>A15</f>
        <v>A. Elektromontažna dela:</v>
      </c>
      <c r="F5" s="672">
        <f>J36</f>
        <v>0</v>
      </c>
    </row>
    <row r="6" spans="1:16">
      <c r="B6" s="259" t="str">
        <f>A39</f>
        <v>B Gradbena dela:</v>
      </c>
      <c r="F6" s="672">
        <f>J50</f>
        <v>0</v>
      </c>
    </row>
    <row r="7" spans="1:16">
      <c r="E7" s="699" t="s">
        <v>706</v>
      </c>
      <c r="F7" s="703">
        <f>SUM(F5:F6)</f>
        <v>0</v>
      </c>
    </row>
    <row r="8" spans="1:16">
      <c r="E8" s="699" t="s">
        <v>733</v>
      </c>
      <c r="F8" s="672">
        <f>F7*0.22</f>
        <v>0</v>
      </c>
    </row>
    <row r="9" spans="1:16">
      <c r="E9" s="699" t="s">
        <v>708</v>
      </c>
      <c r="F9" s="672">
        <f>SUM(F7:F8)</f>
        <v>0</v>
      </c>
    </row>
    <row r="11" spans="1:16" ht="13.5" thickBot="1"/>
    <row r="12" spans="1:16" ht="38.25" thickBot="1">
      <c r="A12" s="673" t="s">
        <v>709</v>
      </c>
      <c r="L12" s="259"/>
      <c r="P12" s="692"/>
    </row>
    <row r="13" spans="1:16" ht="18.75">
      <c r="A13" s="673" t="s">
        <v>710</v>
      </c>
    </row>
    <row r="14" spans="1:16" ht="18.75">
      <c r="A14" s="673"/>
    </row>
    <row r="15" spans="1:16" ht="15">
      <c r="A15" s="674" t="s">
        <v>711</v>
      </c>
    </row>
    <row r="16" spans="1:16">
      <c r="A16" s="675"/>
    </row>
    <row r="17" spans="1:12">
      <c r="A17" s="676"/>
      <c r="B17" s="677"/>
      <c r="C17" s="700" t="s">
        <v>806</v>
      </c>
      <c r="D17" s="678"/>
      <c r="E17" s="700" t="s">
        <v>54</v>
      </c>
      <c r="F17" s="678"/>
      <c r="G17" s="701" t="s">
        <v>809</v>
      </c>
      <c r="H17" s="696"/>
      <c r="I17" s="696"/>
      <c r="J17" s="696" t="s">
        <v>807</v>
      </c>
      <c r="K17" s="654"/>
      <c r="L17" s="654"/>
    </row>
    <row r="18" spans="1:12">
      <c r="A18" s="679"/>
      <c r="B18" s="680"/>
    </row>
    <row r="19" spans="1:12">
      <c r="A19" s="681" t="s">
        <v>712</v>
      </c>
    </row>
    <row r="20" spans="1:12" ht="25.5">
      <c r="A20" s="682" t="s">
        <v>713</v>
      </c>
      <c r="J20" s="697"/>
    </row>
    <row r="21" spans="1:12" ht="20.25" customHeight="1">
      <c r="A21" s="682"/>
      <c r="C21" s="693" t="s">
        <v>60</v>
      </c>
      <c r="E21" s="693">
        <v>800</v>
      </c>
      <c r="G21" s="762"/>
      <c r="J21" s="697">
        <f>E21*G21</f>
        <v>0</v>
      </c>
    </row>
    <row r="22" spans="1:12">
      <c r="A22" s="681" t="s">
        <v>714</v>
      </c>
      <c r="J22" s="697"/>
    </row>
    <row r="23" spans="1:12">
      <c r="A23" s="682"/>
      <c r="C23" s="693" t="s">
        <v>60</v>
      </c>
      <c r="E23" s="693">
        <v>800</v>
      </c>
      <c r="G23" s="763"/>
      <c r="J23" s="697">
        <f t="shared" ref="J23:J35" si="0">E23*G23</f>
        <v>0</v>
      </c>
    </row>
    <row r="24" spans="1:12" ht="63.75">
      <c r="A24" s="683" t="s">
        <v>715</v>
      </c>
      <c r="C24" s="693" t="s">
        <v>60</v>
      </c>
      <c r="E24" s="693">
        <v>160</v>
      </c>
      <c r="G24" s="764"/>
      <c r="J24" s="697">
        <f t="shared" si="0"/>
        <v>0</v>
      </c>
    </row>
    <row r="25" spans="1:12">
      <c r="A25" s="682"/>
      <c r="J25" s="697"/>
    </row>
    <row r="26" spans="1:12" ht="63.75">
      <c r="A26" s="683" t="s">
        <v>716</v>
      </c>
      <c r="J26" s="697"/>
    </row>
    <row r="27" spans="1:12" ht="25.5">
      <c r="A27" s="684" t="s">
        <v>717</v>
      </c>
      <c r="J27" s="697"/>
    </row>
    <row r="28" spans="1:12">
      <c r="A28" s="682"/>
      <c r="B28" s="685" t="s">
        <v>718</v>
      </c>
      <c r="C28" s="693" t="s">
        <v>190</v>
      </c>
      <c r="E28" s="693">
        <v>1</v>
      </c>
      <c r="G28" s="763"/>
      <c r="J28" s="697">
        <f t="shared" si="0"/>
        <v>0</v>
      </c>
    </row>
    <row r="29" spans="1:12" ht="25.5">
      <c r="A29" s="683" t="s">
        <v>719</v>
      </c>
      <c r="J29" s="697"/>
    </row>
    <row r="30" spans="1:12" ht="51">
      <c r="A30" s="682" t="s">
        <v>720</v>
      </c>
      <c r="J30" s="697"/>
    </row>
    <row r="31" spans="1:12">
      <c r="A31" s="682"/>
      <c r="B31" s="685" t="s">
        <v>721</v>
      </c>
      <c r="C31" s="693" t="s">
        <v>190</v>
      </c>
      <c r="E31" s="693">
        <v>1</v>
      </c>
      <c r="G31" s="763"/>
      <c r="J31" s="697">
        <f t="shared" si="0"/>
        <v>0</v>
      </c>
    </row>
    <row r="32" spans="1:12">
      <c r="A32" s="682"/>
      <c r="B32" s="685"/>
      <c r="J32" s="697"/>
    </row>
    <row r="33" spans="1:10">
      <c r="A33" s="681" t="s">
        <v>722</v>
      </c>
      <c r="C33" s="702" t="s">
        <v>190</v>
      </c>
      <c r="E33" s="693">
        <v>1</v>
      </c>
      <c r="G33" s="763"/>
      <c r="J33" s="697">
        <f>E33*G33</f>
        <v>0</v>
      </c>
    </row>
    <row r="34" spans="1:10">
      <c r="A34" s="684"/>
      <c r="J34" s="697"/>
    </row>
    <row r="35" spans="1:10" ht="25.5">
      <c r="A35" s="686" t="s">
        <v>723</v>
      </c>
      <c r="C35" s="693" t="s">
        <v>182</v>
      </c>
      <c r="E35" s="693">
        <v>1</v>
      </c>
      <c r="J35" s="697">
        <f t="shared" si="0"/>
        <v>0</v>
      </c>
    </row>
    <row r="36" spans="1:10" s="694" customFormat="1">
      <c r="A36" s="771" t="s">
        <v>810</v>
      </c>
      <c r="B36" s="772"/>
      <c r="C36" s="773"/>
      <c r="D36" s="772"/>
      <c r="E36" s="773"/>
      <c r="F36" s="772"/>
      <c r="G36" s="765"/>
      <c r="H36" s="774"/>
      <c r="I36" s="774"/>
      <c r="J36" s="770">
        <f>SUM(J21:J35)</f>
        <v>0</v>
      </c>
    </row>
    <row r="37" spans="1:10">
      <c r="A37" s="686"/>
    </row>
    <row r="38" spans="1:10">
      <c r="A38" s="687" t="s">
        <v>696</v>
      </c>
      <c r="F38" s="688"/>
      <c r="G38" s="698"/>
    </row>
    <row r="39" spans="1:10" ht="15">
      <c r="A39" s="674" t="s">
        <v>724</v>
      </c>
    </row>
    <row r="40" spans="1:10">
      <c r="A40" s="684"/>
    </row>
    <row r="41" spans="1:10">
      <c r="A41" s="681" t="s">
        <v>725</v>
      </c>
    </row>
    <row r="42" spans="1:10" ht="51">
      <c r="A42" s="682" t="s">
        <v>726</v>
      </c>
    </row>
    <row r="43" spans="1:10">
      <c r="A43" s="682"/>
      <c r="B43" s="685" t="s">
        <v>727</v>
      </c>
      <c r="C43" s="702" t="s">
        <v>60</v>
      </c>
      <c r="E43" s="693">
        <v>700</v>
      </c>
      <c r="G43" s="763"/>
      <c r="J43" s="695">
        <f>E43*G43</f>
        <v>0</v>
      </c>
    </row>
    <row r="44" spans="1:10" ht="76.5">
      <c r="A44" s="683" t="s">
        <v>728</v>
      </c>
    </row>
    <row r="45" spans="1:10">
      <c r="A45" s="687" t="s">
        <v>729</v>
      </c>
      <c r="C45" s="702" t="s">
        <v>190</v>
      </c>
      <c r="D45" s="688" t="s">
        <v>730</v>
      </c>
      <c r="E45" s="693">
        <v>2</v>
      </c>
      <c r="G45" s="763"/>
      <c r="J45" s="695">
        <f>E45*G45</f>
        <v>0</v>
      </c>
    </row>
    <row r="46" spans="1:10" ht="25.5">
      <c r="A46" s="683" t="s">
        <v>731</v>
      </c>
    </row>
    <row r="47" spans="1:10">
      <c r="A47" s="689"/>
    </row>
    <row r="48" spans="1:10">
      <c r="A48" s="682"/>
      <c r="B48" s="685" t="s">
        <v>732</v>
      </c>
      <c r="C48" s="702" t="s">
        <v>60</v>
      </c>
      <c r="E48" s="693">
        <v>15</v>
      </c>
      <c r="G48" s="763"/>
      <c r="J48" s="695">
        <f>E48*G48</f>
        <v>0</v>
      </c>
    </row>
    <row r="49" spans="1:10">
      <c r="A49" s="684"/>
    </row>
    <row r="50" spans="1:10">
      <c r="A50" s="766" t="s">
        <v>811</v>
      </c>
      <c r="B50" s="767"/>
      <c r="C50" s="768"/>
      <c r="D50" s="767"/>
      <c r="E50" s="768"/>
      <c r="F50" s="767"/>
      <c r="G50" s="764"/>
      <c r="H50" s="769"/>
      <c r="I50" s="769"/>
      <c r="J50" s="770">
        <f>SUM(J42:J49)</f>
        <v>0</v>
      </c>
    </row>
    <row r="51" spans="1:10" ht="18.75">
      <c r="A51" s="690"/>
    </row>
    <row r="52" spans="1:10" ht="18">
      <c r="A52" s="691"/>
    </row>
  </sheetData>
  <pageMargins left="0.70866141732283472" right="0.70866141732283472" top="0.74803149606299213" bottom="0.74803149606299213" header="0.31496062992125984" footer="0.31496062992125984"/>
  <pageSetup paperSize="9" orientation="portrait" r:id="rId1"/>
  <headerFooter>
    <oddHeader>&amp;CProjekt Dolenje in Gorenje Ponikve:
Kanalizacija, rekonstrukcija vodovoda in pločnik med naseljema</oddHeader>
    <oddFooter>&amp;R&amp;P/&amp;N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O89"/>
  <sheetViews>
    <sheetView view="pageBreakPreview" topLeftCell="A63" zoomScale="140" zoomScaleSheetLayoutView="140" workbookViewId="0">
      <selection activeCell="A69" sqref="A69"/>
    </sheetView>
  </sheetViews>
  <sheetFormatPr defaultColWidth="8.7109375" defaultRowHeight="12.75"/>
  <cols>
    <col min="1" max="1" width="8.7109375" style="101" customWidth="1"/>
    <col min="2" max="2" width="11.7109375" style="4" customWidth="1"/>
    <col min="3" max="3" width="36.7109375" style="93" customWidth="1"/>
    <col min="4" max="4" width="30.7109375" style="93" customWidth="1"/>
    <col min="5" max="5" width="6.7109375" style="4" customWidth="1"/>
    <col min="6" max="6" width="11.7109375" style="6" customWidth="1"/>
    <col min="7" max="7" width="16.7109375" style="8" customWidth="1"/>
    <col min="8" max="12" width="0" hidden="1" customWidth="1"/>
    <col min="13" max="13" width="18.7109375" style="10" customWidth="1"/>
  </cols>
  <sheetData>
    <row r="1" spans="1:15" ht="38.25" customHeight="1">
      <c r="A1" s="748" t="s">
        <v>338</v>
      </c>
      <c r="B1" s="748"/>
      <c r="C1" s="748"/>
      <c r="D1" s="748"/>
      <c r="E1" s="748"/>
      <c r="F1" s="748"/>
      <c r="G1" s="748"/>
      <c r="H1" s="748"/>
      <c r="I1" s="748"/>
      <c r="J1" s="748"/>
      <c r="K1" s="748"/>
      <c r="L1" s="748"/>
      <c r="M1" s="748"/>
    </row>
    <row r="2" spans="1:15" s="1" customFormat="1" ht="18.75" thickBot="1">
      <c r="B2" s="3"/>
      <c r="C2" s="90"/>
      <c r="D2" s="90"/>
      <c r="E2" s="3"/>
      <c r="F2" s="5"/>
      <c r="G2" s="7"/>
      <c r="M2" s="9"/>
    </row>
    <row r="3" spans="1:15" s="2" customFormat="1" ht="15.75" thickBot="1">
      <c r="A3" s="30" t="s">
        <v>131</v>
      </c>
      <c r="B3" s="31" t="s">
        <v>135</v>
      </c>
      <c r="C3" s="32" t="s">
        <v>133</v>
      </c>
      <c r="D3" s="32" t="s">
        <v>134</v>
      </c>
      <c r="E3" s="31" t="s">
        <v>136</v>
      </c>
      <c r="F3" s="33" t="s">
        <v>132</v>
      </c>
      <c r="G3" s="34" t="s">
        <v>137</v>
      </c>
      <c r="H3" s="34" t="s">
        <v>137</v>
      </c>
      <c r="I3" s="34" t="s">
        <v>137</v>
      </c>
      <c r="J3" s="34" t="s">
        <v>137</v>
      </c>
      <c r="K3" s="34" t="s">
        <v>137</v>
      </c>
      <c r="L3" s="34" t="s">
        <v>137</v>
      </c>
      <c r="M3" s="35" t="s">
        <v>165</v>
      </c>
    </row>
    <row r="4" spans="1:15" s="11" customFormat="1" ht="16.899999999999999" customHeight="1">
      <c r="A4" s="96" t="s">
        <v>138</v>
      </c>
      <c r="B4" s="26"/>
      <c r="C4" s="91"/>
      <c r="D4" s="91"/>
      <c r="E4" s="26"/>
      <c r="F4" s="27"/>
      <c r="G4" s="28"/>
      <c r="H4" s="29">
        <v>2495</v>
      </c>
      <c r="I4" s="29"/>
      <c r="J4" s="29"/>
      <c r="K4" s="29"/>
      <c r="L4" s="29"/>
      <c r="M4" s="28">
        <f>SUM(M5,M8)</f>
        <v>0</v>
      </c>
    </row>
    <row r="5" spans="1:15" s="11" customFormat="1" ht="16.899999999999999" customHeight="1">
      <c r="A5" s="97" t="s">
        <v>139</v>
      </c>
      <c r="B5" s="12"/>
      <c r="C5" s="92"/>
      <c r="D5" s="92"/>
      <c r="E5" s="12"/>
      <c r="F5" s="121"/>
      <c r="G5" s="14"/>
      <c r="H5" s="15">
        <v>2496</v>
      </c>
      <c r="I5" s="15"/>
      <c r="J5" s="15"/>
      <c r="K5" s="15"/>
      <c r="L5" s="15"/>
      <c r="M5" s="14">
        <f>SUM(M6:M7)</f>
        <v>0</v>
      </c>
    </row>
    <row r="6" spans="1:15" ht="25.5">
      <c r="A6" s="98" t="s">
        <v>140</v>
      </c>
      <c r="B6" s="16" t="s">
        <v>187</v>
      </c>
      <c r="C6" s="89" t="s">
        <v>219</v>
      </c>
      <c r="D6" s="114" t="s">
        <v>339</v>
      </c>
      <c r="E6" s="16" t="s">
        <v>188</v>
      </c>
      <c r="F6" s="115">
        <v>0.68</v>
      </c>
      <c r="G6" s="18"/>
      <c r="H6" s="19">
        <v>5865</v>
      </c>
      <c r="I6" s="19">
        <v>2496</v>
      </c>
      <c r="J6" s="19"/>
      <c r="K6" s="19">
        <v>12786</v>
      </c>
      <c r="L6" s="19"/>
      <c r="M6" s="18">
        <f>F6*G6</f>
        <v>0</v>
      </c>
    </row>
    <row r="7" spans="1:15" ht="25.5">
      <c r="A7" s="99" t="s">
        <v>141</v>
      </c>
      <c r="B7" s="20" t="s">
        <v>189</v>
      </c>
      <c r="C7" s="94" t="s">
        <v>220</v>
      </c>
      <c r="D7" s="89"/>
      <c r="E7" s="20" t="s">
        <v>190</v>
      </c>
      <c r="F7" s="115">
        <v>34</v>
      </c>
      <c r="G7" s="21"/>
      <c r="H7" s="19">
        <v>5866</v>
      </c>
      <c r="I7" s="19">
        <v>2496</v>
      </c>
      <c r="J7" s="19"/>
      <c r="K7" s="19">
        <v>12776</v>
      </c>
      <c r="L7" s="19"/>
      <c r="M7" s="18">
        <f>F7*G7</f>
        <v>0</v>
      </c>
    </row>
    <row r="8" spans="1:15" s="11" customFormat="1" ht="16.899999999999999" customHeight="1">
      <c r="A8" s="97" t="s">
        <v>143</v>
      </c>
      <c r="B8" s="12"/>
      <c r="C8" s="92"/>
      <c r="D8" s="92"/>
      <c r="E8" s="12"/>
      <c r="F8" s="121"/>
      <c r="G8" s="14"/>
      <c r="H8" s="15">
        <v>2497</v>
      </c>
      <c r="I8" s="15"/>
      <c r="J8" s="15"/>
      <c r="K8" s="15"/>
      <c r="L8" s="15"/>
      <c r="M8" s="14">
        <f>SUM(M9:M14)</f>
        <v>0</v>
      </c>
    </row>
    <row r="9" spans="1:15" ht="25.5">
      <c r="A9" s="109" t="s">
        <v>140</v>
      </c>
      <c r="B9" s="110" t="s">
        <v>106</v>
      </c>
      <c r="C9" s="111" t="s">
        <v>107</v>
      </c>
      <c r="D9" s="89"/>
      <c r="E9" s="110" t="s">
        <v>190</v>
      </c>
      <c r="F9" s="445">
        <v>1</v>
      </c>
      <c r="G9" s="21"/>
      <c r="H9" s="19">
        <v>5932</v>
      </c>
      <c r="I9" s="19">
        <v>2497</v>
      </c>
      <c r="J9" s="19"/>
      <c r="K9" s="19">
        <v>5065</v>
      </c>
      <c r="L9" s="19"/>
      <c r="M9" s="18">
        <f t="shared" ref="M9:M14" si="0">F9*G9</f>
        <v>0</v>
      </c>
    </row>
    <row r="10" spans="1:15" ht="25.5">
      <c r="A10" s="109" t="s">
        <v>140</v>
      </c>
      <c r="B10" s="110" t="s">
        <v>340</v>
      </c>
      <c r="C10" s="111" t="s">
        <v>341</v>
      </c>
      <c r="D10" s="89"/>
      <c r="E10" s="110" t="s">
        <v>190</v>
      </c>
      <c r="F10" s="445">
        <v>2</v>
      </c>
      <c r="G10" s="21"/>
      <c r="H10" s="19">
        <v>5932</v>
      </c>
      <c r="I10" s="19">
        <v>2497</v>
      </c>
      <c r="J10" s="19"/>
      <c r="K10" s="19">
        <v>5065</v>
      </c>
      <c r="L10" s="19"/>
      <c r="M10" s="18">
        <f t="shared" si="0"/>
        <v>0</v>
      </c>
    </row>
    <row r="11" spans="1:15" ht="25.5">
      <c r="A11" s="109" t="s">
        <v>140</v>
      </c>
      <c r="B11" s="110" t="s">
        <v>342</v>
      </c>
      <c r="C11" s="111" t="s">
        <v>343</v>
      </c>
      <c r="D11" s="89"/>
      <c r="E11" s="110" t="s">
        <v>190</v>
      </c>
      <c r="F11" s="445">
        <v>2</v>
      </c>
      <c r="G11" s="21"/>
      <c r="H11" s="19">
        <v>5932</v>
      </c>
      <c r="I11" s="19">
        <v>2497</v>
      </c>
      <c r="J11" s="19"/>
      <c r="K11" s="19">
        <v>5065</v>
      </c>
      <c r="L11" s="19"/>
      <c r="M11" s="18">
        <f t="shared" si="0"/>
        <v>0</v>
      </c>
    </row>
    <row r="12" spans="1:15" ht="25.5">
      <c r="A12" s="109" t="s">
        <v>141</v>
      </c>
      <c r="B12" s="110" t="s">
        <v>18</v>
      </c>
      <c r="C12" s="111" t="s">
        <v>19</v>
      </c>
      <c r="D12" s="439"/>
      <c r="E12" s="110" t="s">
        <v>105</v>
      </c>
      <c r="F12" s="445">
        <v>1660</v>
      </c>
      <c r="G12" s="21"/>
      <c r="H12" s="19">
        <v>5932</v>
      </c>
      <c r="I12" s="19">
        <v>2497</v>
      </c>
      <c r="J12" s="19"/>
      <c r="K12" s="19">
        <v>5065</v>
      </c>
      <c r="L12" s="19"/>
      <c r="M12" s="18">
        <f t="shared" si="0"/>
        <v>0</v>
      </c>
      <c r="O12" s="178"/>
    </row>
    <row r="13" spans="1:15" ht="25.5">
      <c r="A13" s="109" t="s">
        <v>142</v>
      </c>
      <c r="B13" s="110" t="s">
        <v>111</v>
      </c>
      <c r="C13" s="111" t="s">
        <v>112</v>
      </c>
      <c r="D13" s="438"/>
      <c r="E13" s="110" t="s">
        <v>105</v>
      </c>
      <c r="F13" s="445">
        <f>640*0.25</f>
        <v>160</v>
      </c>
      <c r="G13" s="21"/>
      <c r="H13" s="19">
        <v>5932</v>
      </c>
      <c r="I13" s="19">
        <v>2497</v>
      </c>
      <c r="J13" s="19"/>
      <c r="K13" s="19">
        <v>5065</v>
      </c>
      <c r="L13" s="19"/>
      <c r="M13" s="18">
        <f t="shared" si="0"/>
        <v>0</v>
      </c>
    </row>
    <row r="14" spans="1:15" ht="25.5">
      <c r="A14" s="109" t="s">
        <v>144</v>
      </c>
      <c r="B14" s="110" t="s">
        <v>113</v>
      </c>
      <c r="C14" s="111" t="s">
        <v>114</v>
      </c>
      <c r="D14" s="89"/>
      <c r="E14" s="110" t="s">
        <v>115</v>
      </c>
      <c r="F14" s="445">
        <v>650</v>
      </c>
      <c r="G14" s="21"/>
      <c r="H14" s="19">
        <v>5932</v>
      </c>
      <c r="I14" s="19">
        <v>2497</v>
      </c>
      <c r="J14" s="19"/>
      <c r="K14" s="19">
        <v>5065</v>
      </c>
      <c r="L14" s="19"/>
      <c r="M14" s="18">
        <f t="shared" si="0"/>
        <v>0</v>
      </c>
    </row>
    <row r="15" spans="1:15">
      <c r="A15" s="99"/>
      <c r="B15" s="110"/>
      <c r="C15" s="94"/>
      <c r="D15" s="89"/>
      <c r="E15" s="20"/>
      <c r="F15" s="445"/>
      <c r="G15" s="21"/>
      <c r="H15" s="19"/>
      <c r="I15" s="19"/>
      <c r="J15" s="19"/>
      <c r="K15" s="19"/>
      <c r="L15" s="19"/>
      <c r="M15" s="18"/>
    </row>
    <row r="16" spans="1:15" s="11" customFormat="1" ht="16.899999999999999" customHeight="1">
      <c r="A16" s="100" t="s">
        <v>148</v>
      </c>
      <c r="B16" s="23"/>
      <c r="C16" s="95"/>
      <c r="D16" s="92"/>
      <c r="E16" s="23"/>
      <c r="F16" s="446"/>
      <c r="G16" s="25"/>
      <c r="H16" s="15">
        <v>2499</v>
      </c>
      <c r="I16" s="15"/>
      <c r="J16" s="15"/>
      <c r="K16" s="15"/>
      <c r="L16" s="15"/>
      <c r="M16" s="14">
        <f>SUM(M17,M20,M24)+M30+M22+M28</f>
        <v>0</v>
      </c>
    </row>
    <row r="17" spans="1:13" s="11" customFormat="1" ht="16.899999999999999" customHeight="1">
      <c r="A17" s="100" t="s">
        <v>149</v>
      </c>
      <c r="B17" s="23"/>
      <c r="C17" s="95"/>
      <c r="D17" s="92"/>
      <c r="E17" s="23"/>
      <c r="F17" s="446"/>
      <c r="G17" s="25"/>
      <c r="H17" s="15">
        <v>2500</v>
      </c>
      <c r="I17" s="15"/>
      <c r="J17" s="15"/>
      <c r="K17" s="15"/>
      <c r="L17" s="15"/>
      <c r="M17" s="14">
        <f>SUM(M18:M19)</f>
        <v>0</v>
      </c>
    </row>
    <row r="18" spans="1:13" ht="25.5">
      <c r="A18" s="98" t="s">
        <v>140</v>
      </c>
      <c r="B18" s="107" t="s">
        <v>120</v>
      </c>
      <c r="C18" s="103" t="s">
        <v>218</v>
      </c>
      <c r="D18" s="103" t="s">
        <v>121</v>
      </c>
      <c r="E18" s="107" t="s">
        <v>108</v>
      </c>
      <c r="F18" s="115">
        <f>400*2.8*0.2+280*3.2*0.2+611.5</f>
        <v>1014.7</v>
      </c>
      <c r="G18" s="18"/>
      <c r="H18" s="19">
        <v>5877</v>
      </c>
      <c r="I18" s="19">
        <v>2500</v>
      </c>
      <c r="J18" s="19"/>
      <c r="K18" s="19">
        <v>5648</v>
      </c>
      <c r="L18" s="19"/>
      <c r="M18" s="18">
        <f>F18*G18</f>
        <v>0</v>
      </c>
    </row>
    <row r="19" spans="1:13" ht="25.5">
      <c r="A19" s="99" t="s">
        <v>141</v>
      </c>
      <c r="B19" s="110" t="s">
        <v>122</v>
      </c>
      <c r="C19" s="111" t="s">
        <v>123</v>
      </c>
      <c r="D19" s="103"/>
      <c r="E19" s="110" t="s">
        <v>108</v>
      </c>
      <c r="F19" s="445">
        <f>(680*10.5+171.46)*0.1</f>
        <v>731.14600000000007</v>
      </c>
      <c r="G19" s="21"/>
      <c r="H19" s="19">
        <v>5879</v>
      </c>
      <c r="I19" s="19">
        <v>2500</v>
      </c>
      <c r="J19" s="19"/>
      <c r="K19" s="19">
        <v>4475</v>
      </c>
      <c r="L19" s="19" t="s">
        <v>150</v>
      </c>
      <c r="M19" s="18">
        <f>F19*G19</f>
        <v>0</v>
      </c>
    </row>
    <row r="20" spans="1:13" s="11" customFormat="1" ht="16.899999999999999" customHeight="1">
      <c r="A20" s="97" t="s">
        <v>151</v>
      </c>
      <c r="B20" s="12"/>
      <c r="C20" s="92"/>
      <c r="D20" s="92"/>
      <c r="E20" s="12"/>
      <c r="F20" s="121"/>
      <c r="G20" s="14"/>
      <c r="H20" s="15">
        <v>2501</v>
      </c>
      <c r="I20" s="15"/>
      <c r="J20" s="15"/>
      <c r="K20" s="15"/>
      <c r="L20" s="15"/>
      <c r="M20" s="14">
        <f>SUM(M21:M21)</f>
        <v>0</v>
      </c>
    </row>
    <row r="21" spans="1:13" ht="25.5">
      <c r="A21" s="98" t="s">
        <v>140</v>
      </c>
      <c r="B21" s="107" t="s">
        <v>124</v>
      </c>
      <c r="C21" s="89" t="s">
        <v>152</v>
      </c>
      <c r="D21" s="89"/>
      <c r="E21" s="107" t="s">
        <v>105</v>
      </c>
      <c r="F21" s="115">
        <f>4.5*680</f>
        <v>3060</v>
      </c>
      <c r="G21" s="18"/>
      <c r="H21" s="19">
        <v>5880</v>
      </c>
      <c r="I21" s="19">
        <v>2501</v>
      </c>
      <c r="J21" s="19"/>
      <c r="K21" s="19">
        <v>5917</v>
      </c>
      <c r="L21" s="19"/>
      <c r="M21" s="18">
        <f>F21*G21</f>
        <v>0</v>
      </c>
    </row>
    <row r="22" spans="1:13" s="11" customFormat="1" ht="16.899999999999999" customHeight="1">
      <c r="A22" s="97" t="s">
        <v>125</v>
      </c>
      <c r="B22" s="12"/>
      <c r="C22" s="92"/>
      <c r="D22" s="92"/>
      <c r="E22" s="12"/>
      <c r="F22" s="121"/>
      <c r="G22" s="14"/>
      <c r="H22" s="15">
        <v>2503</v>
      </c>
      <c r="I22" s="15"/>
      <c r="J22" s="15"/>
      <c r="K22" s="15"/>
      <c r="L22" s="15"/>
      <c r="M22" s="14">
        <f>SUM(M23)</f>
        <v>0</v>
      </c>
    </row>
    <row r="23" spans="1:13" ht="41.25" customHeight="1">
      <c r="A23" s="98" t="s">
        <v>140</v>
      </c>
      <c r="B23" s="107" t="s">
        <v>126</v>
      </c>
      <c r="C23" s="103" t="s">
        <v>127</v>
      </c>
      <c r="D23" s="89"/>
      <c r="E23" s="107" t="s">
        <v>105</v>
      </c>
      <c r="F23" s="115">
        <v>3060</v>
      </c>
      <c r="G23" s="18"/>
      <c r="H23" s="19">
        <v>5886</v>
      </c>
      <c r="I23" s="19">
        <v>2503</v>
      </c>
      <c r="J23" s="19"/>
      <c r="K23" s="19">
        <v>6255</v>
      </c>
      <c r="L23" s="19"/>
      <c r="M23" s="18">
        <f>F23*G23</f>
        <v>0</v>
      </c>
    </row>
    <row r="24" spans="1:13" s="11" customFormat="1" ht="16.899999999999999" customHeight="1">
      <c r="A24" s="97" t="s">
        <v>14</v>
      </c>
      <c r="B24" s="12"/>
      <c r="C24" s="92"/>
      <c r="D24" s="92"/>
      <c r="E24" s="12"/>
      <c r="F24" s="121"/>
      <c r="G24" s="14"/>
      <c r="H24" s="15">
        <v>2503</v>
      </c>
      <c r="I24" s="15"/>
      <c r="J24" s="15"/>
      <c r="K24" s="15"/>
      <c r="L24" s="15"/>
      <c r="M24" s="14">
        <f>SUM(M25:M27)</f>
        <v>0</v>
      </c>
    </row>
    <row r="25" spans="1:13" ht="25.5">
      <c r="A25" s="98" t="s">
        <v>140</v>
      </c>
      <c r="B25" s="107" t="s">
        <v>128</v>
      </c>
      <c r="C25" s="89" t="s">
        <v>153</v>
      </c>
      <c r="D25" s="89" t="s">
        <v>154</v>
      </c>
      <c r="E25" s="107" t="s">
        <v>105</v>
      </c>
      <c r="F25" s="115">
        <v>1378</v>
      </c>
      <c r="G25" s="18"/>
      <c r="H25" s="19">
        <v>5886</v>
      </c>
      <c r="I25" s="19">
        <v>2503</v>
      </c>
      <c r="J25" s="19"/>
      <c r="K25" s="19">
        <v>6255</v>
      </c>
      <c r="L25" s="19"/>
      <c r="M25" s="18">
        <f>F25*G25</f>
        <v>0</v>
      </c>
    </row>
    <row r="26" spans="1:13">
      <c r="A26" s="98" t="s">
        <v>141</v>
      </c>
      <c r="B26" s="107" t="s">
        <v>129</v>
      </c>
      <c r="C26" s="89" t="s">
        <v>155</v>
      </c>
      <c r="D26" s="89"/>
      <c r="E26" s="107" t="s">
        <v>105</v>
      </c>
      <c r="F26" s="115">
        <v>1378</v>
      </c>
      <c r="G26" s="18"/>
      <c r="H26" s="19">
        <v>5933</v>
      </c>
      <c r="I26" s="19">
        <v>2503</v>
      </c>
      <c r="J26" s="19"/>
      <c r="K26" s="19">
        <v>6270</v>
      </c>
      <c r="L26" s="19"/>
      <c r="M26" s="18">
        <f>F26*G26</f>
        <v>0</v>
      </c>
    </row>
    <row r="27" spans="1:13" ht="51">
      <c r="A27" s="98" t="s">
        <v>142</v>
      </c>
      <c r="B27" s="107" t="s">
        <v>344</v>
      </c>
      <c r="C27" s="438" t="s">
        <v>348</v>
      </c>
      <c r="D27" s="89"/>
      <c r="E27" s="107" t="s">
        <v>190</v>
      </c>
      <c r="F27" s="115">
        <v>9</v>
      </c>
      <c r="G27" s="18"/>
      <c r="H27" s="19">
        <v>5933</v>
      </c>
      <c r="I27" s="19">
        <v>2503</v>
      </c>
      <c r="J27" s="19"/>
      <c r="K27" s="19">
        <v>6270</v>
      </c>
      <c r="L27" s="19"/>
      <c r="M27" s="18">
        <f>F27*G27</f>
        <v>0</v>
      </c>
    </row>
    <row r="28" spans="1:13" s="11" customFormat="1" ht="16.899999999999999" customHeight="1">
      <c r="A28" s="97" t="s">
        <v>213</v>
      </c>
      <c r="B28" s="12"/>
      <c r="C28" s="92"/>
      <c r="D28" s="92"/>
      <c r="E28" s="12"/>
      <c r="F28" s="13"/>
      <c r="G28" s="14"/>
      <c r="H28" s="15">
        <v>2503</v>
      </c>
      <c r="I28" s="15"/>
      <c r="J28" s="15"/>
      <c r="K28" s="15"/>
      <c r="L28" s="15"/>
      <c r="M28" s="14">
        <f>SUM(M29)</f>
        <v>0</v>
      </c>
    </row>
    <row r="29" spans="1:13" ht="51">
      <c r="A29" s="112" t="s">
        <v>140</v>
      </c>
      <c r="B29" s="113" t="s">
        <v>130</v>
      </c>
      <c r="C29" s="439" t="s">
        <v>216</v>
      </c>
      <c r="D29" s="439"/>
      <c r="E29" s="125" t="s">
        <v>108</v>
      </c>
      <c r="F29" s="115">
        <f>F25*0.2</f>
        <v>275.60000000000002</v>
      </c>
      <c r="G29" s="116"/>
      <c r="H29" s="117">
        <v>5886</v>
      </c>
      <c r="I29" s="117">
        <v>2503</v>
      </c>
      <c r="J29" s="117"/>
      <c r="K29" s="117">
        <v>6255</v>
      </c>
      <c r="L29" s="117"/>
      <c r="M29" s="116">
        <f>F29*G29</f>
        <v>0</v>
      </c>
    </row>
    <row r="30" spans="1:13" s="11" customFormat="1" ht="16.899999999999999" customHeight="1">
      <c r="A30" s="97" t="s">
        <v>212</v>
      </c>
      <c r="B30" s="12"/>
      <c r="C30" s="92"/>
      <c r="D30" s="92"/>
      <c r="E30" s="12"/>
      <c r="F30" s="13"/>
      <c r="G30" s="14"/>
      <c r="H30" s="15">
        <v>2503</v>
      </c>
      <c r="I30" s="15"/>
      <c r="J30" s="15"/>
      <c r="K30" s="15"/>
      <c r="L30" s="15"/>
      <c r="M30" s="14">
        <f>SUM(M31:M31)</f>
        <v>0</v>
      </c>
    </row>
    <row r="31" spans="1:13" ht="51">
      <c r="A31" s="112" t="s">
        <v>140</v>
      </c>
      <c r="B31" s="113" t="s">
        <v>130</v>
      </c>
      <c r="C31" s="114" t="s">
        <v>835</v>
      </c>
      <c r="D31" s="439"/>
      <c r="E31" s="125" t="s">
        <v>108</v>
      </c>
      <c r="F31" s="115">
        <v>1005</v>
      </c>
      <c r="G31" s="116"/>
      <c r="H31" s="117">
        <v>5886</v>
      </c>
      <c r="I31" s="117">
        <v>2503</v>
      </c>
      <c r="J31" s="117"/>
      <c r="K31" s="117">
        <v>6255</v>
      </c>
      <c r="L31" s="117"/>
      <c r="M31" s="116">
        <f>F31*G31</f>
        <v>0</v>
      </c>
    </row>
    <row r="32" spans="1:13">
      <c r="A32" s="98"/>
      <c r="B32" s="16"/>
      <c r="C32" s="89"/>
      <c r="D32" s="89"/>
      <c r="E32" s="16"/>
      <c r="F32" s="17"/>
      <c r="G32" s="18"/>
      <c r="H32" s="19"/>
      <c r="I32" s="19"/>
      <c r="J32" s="19"/>
      <c r="K32" s="19"/>
      <c r="L32" s="19"/>
      <c r="M32" s="18"/>
    </row>
    <row r="33" spans="1:13" s="11" customFormat="1" ht="16.899999999999999" customHeight="1">
      <c r="A33" s="97" t="s">
        <v>156</v>
      </c>
      <c r="B33" s="12"/>
      <c r="C33" s="92"/>
      <c r="D33" s="92"/>
      <c r="E33" s="12"/>
      <c r="F33" s="13"/>
      <c r="G33" s="14"/>
      <c r="H33" s="15">
        <v>2504</v>
      </c>
      <c r="I33" s="15"/>
      <c r="J33" s="15"/>
      <c r="K33" s="15"/>
      <c r="L33" s="15"/>
      <c r="M33" s="14">
        <f>M34+M38+M43</f>
        <v>0</v>
      </c>
    </row>
    <row r="34" spans="1:13" s="11" customFormat="1" ht="16.899999999999999" customHeight="1">
      <c r="A34" s="97" t="s">
        <v>157</v>
      </c>
      <c r="B34" s="12"/>
      <c r="C34" s="92"/>
      <c r="D34" s="92"/>
      <c r="E34" s="12"/>
      <c r="F34" s="13"/>
      <c r="G34" s="14"/>
      <c r="H34" s="15">
        <v>2505</v>
      </c>
      <c r="I34" s="15"/>
      <c r="J34" s="15"/>
      <c r="K34" s="15"/>
      <c r="L34" s="15"/>
      <c r="M34" s="14">
        <f>SUM(M35:M37)</f>
        <v>0</v>
      </c>
    </row>
    <row r="35" spans="1:13" s="11" customFormat="1" ht="42.75" customHeight="1">
      <c r="A35" s="98" t="s">
        <v>140</v>
      </c>
      <c r="B35" s="107" t="s">
        <v>81</v>
      </c>
      <c r="C35" s="103" t="s">
        <v>335</v>
      </c>
      <c r="D35" s="103"/>
      <c r="E35" s="107" t="s">
        <v>108</v>
      </c>
      <c r="F35" s="115">
        <f>680*1.21</f>
        <v>822.8</v>
      </c>
      <c r="G35" s="18"/>
      <c r="H35" s="19">
        <v>5882</v>
      </c>
      <c r="I35" s="19">
        <v>2502</v>
      </c>
      <c r="J35" s="19"/>
      <c r="K35" s="19">
        <v>6223</v>
      </c>
      <c r="L35" s="19"/>
      <c r="M35" s="18">
        <f>F35*G35</f>
        <v>0</v>
      </c>
    </row>
    <row r="36" spans="1:13" s="11" customFormat="1" ht="43.5" customHeight="1">
      <c r="A36" s="98" t="s">
        <v>141</v>
      </c>
      <c r="B36" s="107" t="s">
        <v>83</v>
      </c>
      <c r="C36" s="103" t="s">
        <v>84</v>
      </c>
      <c r="D36" s="103" t="s">
        <v>82</v>
      </c>
      <c r="E36" s="107" t="s">
        <v>108</v>
      </c>
      <c r="F36" s="115">
        <f>680*1.38</f>
        <v>938.4</v>
      </c>
      <c r="G36" s="18"/>
      <c r="H36" s="19">
        <v>5883</v>
      </c>
      <c r="I36" s="19">
        <v>2502</v>
      </c>
      <c r="J36" s="19"/>
      <c r="K36" s="19">
        <v>6180</v>
      </c>
      <c r="L36" s="19"/>
      <c r="M36" s="18">
        <f>F36*G36</f>
        <v>0</v>
      </c>
    </row>
    <row r="37" spans="1:13" ht="42" customHeight="1">
      <c r="A37" s="106" t="s">
        <v>142</v>
      </c>
      <c r="B37" s="107" t="s">
        <v>86</v>
      </c>
      <c r="C37" s="103" t="s">
        <v>87</v>
      </c>
      <c r="D37" s="438" t="s">
        <v>349</v>
      </c>
      <c r="E37" s="107" t="s">
        <v>105</v>
      </c>
      <c r="F37" s="115">
        <f>1660+39</f>
        <v>1699</v>
      </c>
      <c r="G37" s="18"/>
      <c r="H37" s="19">
        <v>5942</v>
      </c>
      <c r="I37" s="19">
        <v>2505</v>
      </c>
      <c r="J37" s="19"/>
      <c r="K37" s="19">
        <v>4074</v>
      </c>
      <c r="L37" s="19" t="s">
        <v>158</v>
      </c>
      <c r="M37" s="18">
        <f>F37*G37</f>
        <v>0</v>
      </c>
    </row>
    <row r="38" spans="1:13" s="11" customFormat="1" ht="16.899999999999999" customHeight="1">
      <c r="A38" s="97" t="s">
        <v>159</v>
      </c>
      <c r="B38" s="12"/>
      <c r="C38" s="92"/>
      <c r="D38" s="92"/>
      <c r="E38" s="12"/>
      <c r="F38" s="13"/>
      <c r="G38" s="14"/>
      <c r="H38" s="15">
        <v>2506</v>
      </c>
      <c r="I38" s="15"/>
      <c r="J38" s="15"/>
      <c r="K38" s="15"/>
      <c r="L38" s="15"/>
      <c r="M38" s="14">
        <f>SUM(M39:M41)</f>
        <v>0</v>
      </c>
    </row>
    <row r="39" spans="1:13" ht="51">
      <c r="A39" s="98" t="s">
        <v>140</v>
      </c>
      <c r="B39" s="107" t="s">
        <v>88</v>
      </c>
      <c r="C39" s="89" t="s">
        <v>205</v>
      </c>
      <c r="D39" s="89" t="s">
        <v>181</v>
      </c>
      <c r="E39" s="107" t="s">
        <v>105</v>
      </c>
      <c r="F39" s="115">
        <f>F37+F13+39</f>
        <v>1898</v>
      </c>
      <c r="G39" s="18"/>
      <c r="H39" s="19">
        <v>5890</v>
      </c>
      <c r="I39" s="19">
        <v>2506</v>
      </c>
      <c r="J39" s="19"/>
      <c r="K39" s="19">
        <v>6862</v>
      </c>
      <c r="L39" s="19"/>
      <c r="M39" s="18">
        <f>F39*G39</f>
        <v>0</v>
      </c>
    </row>
    <row r="40" spans="1:13" ht="51">
      <c r="A40" s="98" t="s">
        <v>144</v>
      </c>
      <c r="B40" s="107" t="s">
        <v>7</v>
      </c>
      <c r="C40" s="103" t="s">
        <v>214</v>
      </c>
      <c r="D40" s="103" t="s">
        <v>801</v>
      </c>
      <c r="E40" s="107" t="s">
        <v>105</v>
      </c>
      <c r="F40" s="115">
        <f>849.35+17*9*1.6+7.5*1.6+8.8*2</f>
        <v>1123.75</v>
      </c>
      <c r="G40" s="18"/>
      <c r="H40" s="19">
        <v>5890</v>
      </c>
      <c r="I40" s="19">
        <v>2506</v>
      </c>
      <c r="J40" s="19"/>
      <c r="K40" s="19">
        <v>6862</v>
      </c>
      <c r="L40" s="19"/>
      <c r="M40" s="18">
        <f>F40*G40</f>
        <v>0</v>
      </c>
    </row>
    <row r="41" spans="1:13" ht="25.5">
      <c r="A41" s="106" t="s">
        <v>141</v>
      </c>
      <c r="B41" s="107" t="s">
        <v>89</v>
      </c>
      <c r="C41" s="89" t="s">
        <v>160</v>
      </c>
      <c r="D41" s="89"/>
      <c r="E41" s="107" t="s">
        <v>105</v>
      </c>
      <c r="F41" s="115">
        <f>F13</f>
        <v>160</v>
      </c>
      <c r="G41" s="18"/>
      <c r="H41" s="19">
        <v>5936</v>
      </c>
      <c r="I41" s="19">
        <v>2506</v>
      </c>
      <c r="J41" s="19"/>
      <c r="K41" s="19">
        <v>7019</v>
      </c>
      <c r="L41" s="19"/>
      <c r="M41" s="18">
        <f>F41*G41</f>
        <v>0</v>
      </c>
    </row>
    <row r="42" spans="1:13">
      <c r="A42" s="98"/>
      <c r="B42" s="107"/>
      <c r="C42" s="89"/>
      <c r="D42" s="103"/>
      <c r="E42" s="107"/>
      <c r="F42" s="17"/>
      <c r="G42" s="18"/>
      <c r="H42" s="19"/>
      <c r="I42" s="19"/>
      <c r="J42" s="19"/>
      <c r="K42" s="19"/>
      <c r="L42" s="19"/>
      <c r="M42" s="18"/>
    </row>
    <row r="43" spans="1:13" s="11" customFormat="1" ht="16.899999999999999" customHeight="1">
      <c r="A43" s="97" t="s">
        <v>13</v>
      </c>
      <c r="B43" s="12"/>
      <c r="C43" s="92"/>
      <c r="D43" s="92"/>
      <c r="E43" s="12"/>
      <c r="F43" s="13"/>
      <c r="G43" s="14"/>
      <c r="H43" s="15">
        <v>2508</v>
      </c>
      <c r="I43" s="15"/>
      <c r="J43" s="15"/>
      <c r="K43" s="15"/>
      <c r="L43" s="15"/>
      <c r="M43" s="14">
        <f>SUM(M44:M45)</f>
        <v>0</v>
      </c>
    </row>
    <row r="44" spans="1:13" ht="63.75">
      <c r="A44" s="444" t="s">
        <v>141</v>
      </c>
      <c r="B44" s="107" t="s">
        <v>103</v>
      </c>
      <c r="C44" s="438" t="s">
        <v>350</v>
      </c>
      <c r="D44" s="438" t="s">
        <v>346</v>
      </c>
      <c r="E44" s="107" t="s">
        <v>115</v>
      </c>
      <c r="F44" s="115">
        <f>(17*9+7.5+6.04*2)</f>
        <v>172.58</v>
      </c>
      <c r="G44" s="18"/>
      <c r="H44" s="19">
        <v>5896</v>
      </c>
      <c r="I44" s="19">
        <v>2508</v>
      </c>
      <c r="J44" s="19"/>
      <c r="K44" s="19">
        <v>7417</v>
      </c>
      <c r="L44" s="19"/>
      <c r="M44" s="18">
        <f>F44*G44</f>
        <v>0</v>
      </c>
    </row>
    <row r="45" spans="1:13" ht="63.75">
      <c r="A45" s="98" t="s">
        <v>142</v>
      </c>
      <c r="B45" s="107" t="s">
        <v>6</v>
      </c>
      <c r="C45" s="438" t="s">
        <v>351</v>
      </c>
      <c r="D45" s="103" t="s">
        <v>8</v>
      </c>
      <c r="E45" s="107" t="s">
        <v>115</v>
      </c>
      <c r="F45" s="115">
        <f>680-10-6.5-5+7</f>
        <v>665.5</v>
      </c>
      <c r="G45" s="18"/>
      <c r="H45" s="19">
        <v>5896</v>
      </c>
      <c r="I45" s="19">
        <v>2508</v>
      </c>
      <c r="J45" s="19"/>
      <c r="K45" s="19">
        <v>7417</v>
      </c>
      <c r="L45" s="19"/>
      <c r="M45" s="18">
        <f>F45*G45</f>
        <v>0</v>
      </c>
    </row>
    <row r="46" spans="1:13">
      <c r="A46" s="98"/>
      <c r="B46" s="107"/>
      <c r="C46" s="89"/>
      <c r="D46" s="103"/>
      <c r="E46" s="107"/>
      <c r="F46" s="17"/>
      <c r="G46" s="18"/>
      <c r="H46" s="19"/>
      <c r="I46" s="19"/>
      <c r="J46" s="19"/>
      <c r="K46" s="19"/>
      <c r="L46" s="19"/>
      <c r="M46" s="18"/>
    </row>
    <row r="47" spans="1:13" s="124" customFormat="1" ht="16.899999999999999" customHeight="1">
      <c r="A47" s="118" t="s">
        <v>183</v>
      </c>
      <c r="B47" s="119"/>
      <c r="C47" s="120"/>
      <c r="D47" s="120"/>
      <c r="E47" s="119"/>
      <c r="F47" s="121"/>
      <c r="G47" s="122"/>
      <c r="H47" s="123">
        <v>2702</v>
      </c>
      <c r="I47" s="123"/>
      <c r="J47" s="123"/>
      <c r="K47" s="123"/>
      <c r="L47" s="123"/>
      <c r="M47" s="122">
        <f>M48+M54</f>
        <v>0</v>
      </c>
    </row>
    <row r="48" spans="1:13" s="124" customFormat="1" ht="16.899999999999999" customHeight="1">
      <c r="A48" s="118" t="s">
        <v>9</v>
      </c>
      <c r="B48" s="119"/>
      <c r="C48" s="120"/>
      <c r="D48" s="120"/>
      <c r="E48" s="119"/>
      <c r="F48" s="121"/>
      <c r="G48" s="122"/>
      <c r="H48" s="123">
        <v>2704</v>
      </c>
      <c r="I48" s="123"/>
      <c r="J48" s="123"/>
      <c r="K48" s="123"/>
      <c r="L48" s="123"/>
      <c r="M48" s="122">
        <f>SUM(M49:M52)</f>
        <v>0</v>
      </c>
    </row>
    <row r="49" spans="1:13" s="126" customFormat="1" ht="57.75" customHeight="1">
      <c r="A49" s="112" t="s">
        <v>140</v>
      </c>
      <c r="B49" s="125" t="s">
        <v>11</v>
      </c>
      <c r="C49" s="114" t="s">
        <v>352</v>
      </c>
      <c r="D49" s="114"/>
      <c r="E49" s="125" t="s">
        <v>115</v>
      </c>
      <c r="F49" s="115">
        <f>581.3-F50</f>
        <v>459.59999999999997</v>
      </c>
      <c r="G49" s="116"/>
      <c r="H49" s="117">
        <v>6485</v>
      </c>
      <c r="I49" s="117">
        <v>2704</v>
      </c>
      <c r="J49" s="117"/>
      <c r="K49" s="117">
        <v>10647</v>
      </c>
      <c r="L49" s="117"/>
      <c r="M49" s="116">
        <f>F49*G49</f>
        <v>0</v>
      </c>
    </row>
    <row r="50" spans="1:13" s="126" customFormat="1" ht="59.25" customHeight="1">
      <c r="A50" s="112" t="s">
        <v>141</v>
      </c>
      <c r="B50" s="125" t="s">
        <v>11</v>
      </c>
      <c r="C50" s="114" t="s">
        <v>354</v>
      </c>
      <c r="D50" s="114"/>
      <c r="E50" s="125" t="s">
        <v>115</v>
      </c>
      <c r="F50" s="115">
        <v>121.7</v>
      </c>
      <c r="G50" s="116"/>
      <c r="H50" s="117">
        <v>6485</v>
      </c>
      <c r="I50" s="117">
        <v>2704</v>
      </c>
      <c r="J50" s="117"/>
      <c r="K50" s="117">
        <v>10647</v>
      </c>
      <c r="L50" s="117"/>
      <c r="M50" s="116">
        <f>F50*G50</f>
        <v>0</v>
      </c>
    </row>
    <row r="51" spans="1:13" ht="135.75" customHeight="1">
      <c r="A51" s="98" t="s">
        <v>142</v>
      </c>
      <c r="B51" s="107" t="s">
        <v>203</v>
      </c>
      <c r="C51" s="103" t="s">
        <v>359</v>
      </c>
      <c r="D51" s="438" t="s">
        <v>361</v>
      </c>
      <c r="E51" s="107" t="s">
        <v>60</v>
      </c>
      <c r="F51" s="17">
        <v>170</v>
      </c>
      <c r="G51" s="18"/>
      <c r="H51" s="19"/>
      <c r="I51" s="19"/>
      <c r="J51" s="19"/>
      <c r="K51" s="19"/>
      <c r="L51" s="19"/>
      <c r="M51" s="18">
        <f t="shared" ref="M51" si="1">F51*G51</f>
        <v>0</v>
      </c>
    </row>
    <row r="52" spans="1:13" s="126" customFormat="1" ht="17.25" customHeight="1">
      <c r="A52" s="127" t="s">
        <v>144</v>
      </c>
      <c r="B52" s="125" t="s">
        <v>92</v>
      </c>
      <c r="C52" s="114" t="s">
        <v>184</v>
      </c>
      <c r="D52" s="114"/>
      <c r="E52" s="125" t="s">
        <v>115</v>
      </c>
      <c r="F52" s="115">
        <f>F49+F50</f>
        <v>581.29999999999995</v>
      </c>
      <c r="G52" s="116"/>
      <c r="H52" s="117">
        <v>6486</v>
      </c>
      <c r="I52" s="117">
        <v>2704</v>
      </c>
      <c r="J52" s="117"/>
      <c r="K52" s="117">
        <v>10769</v>
      </c>
      <c r="L52" s="117"/>
      <c r="M52" s="116">
        <f>F52*G52</f>
        <v>0</v>
      </c>
    </row>
    <row r="53" spans="1:13" s="126" customFormat="1" ht="17.25" customHeight="1">
      <c r="A53" s="127"/>
      <c r="B53" s="125"/>
      <c r="C53" s="114"/>
      <c r="D53" s="114"/>
      <c r="E53" s="125"/>
      <c r="F53" s="115"/>
      <c r="G53" s="116"/>
      <c r="H53" s="117"/>
      <c r="I53" s="117"/>
      <c r="J53" s="117"/>
      <c r="K53" s="117"/>
      <c r="L53" s="117"/>
      <c r="M53" s="116"/>
    </row>
    <row r="54" spans="1:13" s="124" customFormat="1" ht="16.899999999999999" customHeight="1">
      <c r="A54" s="118" t="s">
        <v>10</v>
      </c>
      <c r="B54" s="119"/>
      <c r="C54" s="120"/>
      <c r="D54" s="120"/>
      <c r="E54" s="119"/>
      <c r="F54" s="121"/>
      <c r="G54" s="122"/>
      <c r="H54" s="123">
        <v>2705</v>
      </c>
      <c r="I54" s="123"/>
      <c r="J54" s="123"/>
      <c r="K54" s="123"/>
      <c r="L54" s="123"/>
      <c r="M54" s="122">
        <f>SUM(M55:M58)</f>
        <v>0</v>
      </c>
    </row>
    <row r="55" spans="1:13" s="126" customFormat="1" ht="38.25">
      <c r="A55" s="112" t="s">
        <v>140</v>
      </c>
      <c r="B55" s="125" t="s">
        <v>104</v>
      </c>
      <c r="C55" s="114" t="s">
        <v>200</v>
      </c>
      <c r="D55" s="114" t="s">
        <v>356</v>
      </c>
      <c r="E55" s="125" t="s">
        <v>190</v>
      </c>
      <c r="F55" s="115">
        <v>21</v>
      </c>
      <c r="G55" s="116"/>
      <c r="H55" s="117">
        <v>6482</v>
      </c>
      <c r="I55" s="117">
        <v>2704</v>
      </c>
      <c r="J55" s="117"/>
      <c r="K55" s="117">
        <v>10613</v>
      </c>
      <c r="L55" s="117"/>
      <c r="M55" s="116">
        <f>F55*G55</f>
        <v>0</v>
      </c>
    </row>
    <row r="56" spans="1:13" s="126" customFormat="1" ht="38.25">
      <c r="A56" s="112" t="s">
        <v>141</v>
      </c>
      <c r="B56" s="125" t="s">
        <v>360</v>
      </c>
      <c r="C56" s="114" t="s">
        <v>353</v>
      </c>
      <c r="D56" s="114"/>
      <c r="E56" s="125" t="s">
        <v>190</v>
      </c>
      <c r="F56" s="115">
        <v>4</v>
      </c>
      <c r="G56" s="116"/>
      <c r="H56" s="117">
        <v>6485</v>
      </c>
      <c r="I56" s="117">
        <v>2704</v>
      </c>
      <c r="J56" s="117"/>
      <c r="K56" s="117">
        <v>10647</v>
      </c>
      <c r="L56" s="117"/>
      <c r="M56" s="116">
        <f>F56*G56</f>
        <v>0</v>
      </c>
    </row>
    <row r="57" spans="1:13" s="126" customFormat="1" ht="38.25">
      <c r="A57" s="112" t="s">
        <v>142</v>
      </c>
      <c r="B57" s="125" t="s">
        <v>42</v>
      </c>
      <c r="C57" s="114" t="s">
        <v>43</v>
      </c>
      <c r="D57" s="114"/>
      <c r="E57" s="125" t="s">
        <v>190</v>
      </c>
      <c r="F57" s="115">
        <f>F55-F56</f>
        <v>17</v>
      </c>
      <c r="G57" s="116"/>
      <c r="H57" s="117">
        <v>6485</v>
      </c>
      <c r="I57" s="117">
        <v>2704</v>
      </c>
      <c r="J57" s="117"/>
      <c r="K57" s="117">
        <v>10647</v>
      </c>
      <c r="L57" s="117"/>
      <c r="M57" s="116">
        <f>F57*G57</f>
        <v>0</v>
      </c>
    </row>
    <row r="58" spans="1:13" s="126" customFormat="1">
      <c r="A58" s="112" t="s">
        <v>144</v>
      </c>
      <c r="B58" s="125"/>
      <c r="C58" s="114" t="s">
        <v>12</v>
      </c>
      <c r="D58" s="439"/>
      <c r="E58" s="125" t="s">
        <v>190</v>
      </c>
      <c r="F58" s="115">
        <v>15</v>
      </c>
      <c r="G58" s="116"/>
      <c r="H58" s="117">
        <v>6485</v>
      </c>
      <c r="I58" s="117">
        <v>2704</v>
      </c>
      <c r="J58" s="117"/>
      <c r="K58" s="117">
        <v>10647</v>
      </c>
      <c r="L58" s="117"/>
      <c r="M58" s="116">
        <f>F58*G58</f>
        <v>0</v>
      </c>
    </row>
    <row r="59" spans="1:13" s="126" customFormat="1" ht="25.5">
      <c r="A59" s="112" t="s">
        <v>145</v>
      </c>
      <c r="B59" s="125"/>
      <c r="C59" s="114" t="s">
        <v>355</v>
      </c>
      <c r="D59" s="439"/>
      <c r="E59" s="125" t="s">
        <v>190</v>
      </c>
      <c r="F59" s="115">
        <v>1</v>
      </c>
      <c r="G59" s="116"/>
      <c r="H59" s="117">
        <v>6485</v>
      </c>
      <c r="I59" s="117">
        <v>2704</v>
      </c>
      <c r="J59" s="117"/>
      <c r="K59" s="117">
        <v>10647</v>
      </c>
      <c r="L59" s="117"/>
      <c r="M59" s="116">
        <f>F59*G59</f>
        <v>0</v>
      </c>
    </row>
    <row r="60" spans="1:13" s="11" customFormat="1" ht="16.899999999999999" customHeight="1">
      <c r="A60" s="97" t="s">
        <v>217</v>
      </c>
      <c r="B60" s="12"/>
      <c r="C60" s="746"/>
      <c r="D60" s="747"/>
      <c r="E60" s="12"/>
      <c r="F60" s="13"/>
      <c r="G60" s="14"/>
      <c r="H60" s="15">
        <v>2504</v>
      </c>
      <c r="I60" s="15"/>
      <c r="J60" s="15"/>
      <c r="K60" s="15"/>
      <c r="L60" s="15"/>
      <c r="M60" s="14">
        <f>SUM(M61)</f>
        <v>0</v>
      </c>
    </row>
    <row r="61" spans="1:13" s="11" customFormat="1" ht="16.899999999999999" customHeight="1">
      <c r="A61" s="97" t="s">
        <v>357</v>
      </c>
      <c r="B61" s="12"/>
      <c r="C61" s="92"/>
      <c r="D61" s="92"/>
      <c r="E61" s="12"/>
      <c r="F61" s="13"/>
      <c r="G61" s="14"/>
      <c r="H61" s="15">
        <v>2505</v>
      </c>
      <c r="I61" s="15"/>
      <c r="J61" s="15"/>
      <c r="K61" s="15"/>
      <c r="L61" s="15"/>
      <c r="M61" s="14">
        <f>SUM(M62:M63)</f>
        <v>0</v>
      </c>
    </row>
    <row r="62" spans="1:13" s="11" customFormat="1" ht="92.25" customHeight="1">
      <c r="A62" s="98" t="s">
        <v>140</v>
      </c>
      <c r="B62" s="107" t="s">
        <v>201</v>
      </c>
      <c r="C62" s="103" t="s">
        <v>358</v>
      </c>
      <c r="D62" s="447"/>
      <c r="E62" s="452" t="s">
        <v>60</v>
      </c>
      <c r="F62" s="115">
        <v>12</v>
      </c>
      <c r="G62" s="18"/>
      <c r="H62" s="19">
        <v>5882</v>
      </c>
      <c r="I62" s="19">
        <v>2502</v>
      </c>
      <c r="J62" s="19"/>
      <c r="K62" s="19">
        <v>6223</v>
      </c>
      <c r="L62" s="19"/>
      <c r="M62" s="18">
        <f>F62*G62</f>
        <v>0</v>
      </c>
    </row>
    <row r="63" spans="1:13" s="11" customFormat="1" ht="129.75" customHeight="1">
      <c r="A63" s="98" t="s">
        <v>141</v>
      </c>
      <c r="B63" s="107" t="s">
        <v>202</v>
      </c>
      <c r="C63" s="103" t="s">
        <v>362</v>
      </c>
      <c r="D63" s="447" t="s">
        <v>363</v>
      </c>
      <c r="E63" s="452" t="s">
        <v>60</v>
      </c>
      <c r="F63" s="115">
        <f>22.5+8+26+18.5</f>
        <v>75</v>
      </c>
      <c r="G63" s="18"/>
      <c r="H63" s="19">
        <v>5883</v>
      </c>
      <c r="I63" s="19">
        <v>2502</v>
      </c>
      <c r="J63" s="19"/>
      <c r="K63" s="19">
        <v>6180</v>
      </c>
      <c r="L63" s="19"/>
      <c r="M63" s="18">
        <f>F63*G63</f>
        <v>0</v>
      </c>
    </row>
    <row r="64" spans="1:13" ht="12.6" customHeight="1">
      <c r="A64" s="106"/>
      <c r="B64" s="107"/>
      <c r="C64" s="103"/>
      <c r="D64" s="89"/>
      <c r="E64" s="107"/>
      <c r="F64" s="17"/>
      <c r="G64" s="18"/>
      <c r="H64" s="19"/>
      <c r="I64" s="19"/>
      <c r="J64" s="19"/>
      <c r="K64" s="19"/>
      <c r="L64" s="19"/>
      <c r="M64" s="18"/>
    </row>
    <row r="65" spans="1:13" s="11" customFormat="1" ht="16.899999999999999" customHeight="1">
      <c r="A65" s="97" t="s">
        <v>162</v>
      </c>
      <c r="B65" s="12"/>
      <c r="C65" s="92"/>
      <c r="D65" s="92"/>
      <c r="E65" s="12"/>
      <c r="F65" s="13"/>
      <c r="G65" s="14"/>
      <c r="H65" s="15">
        <v>2702</v>
      </c>
      <c r="I65" s="15"/>
      <c r="J65" s="15"/>
      <c r="K65" s="15"/>
      <c r="L65" s="15"/>
      <c r="M65" s="14">
        <f>M66+M77</f>
        <v>0</v>
      </c>
    </row>
    <row r="66" spans="1:13" s="11" customFormat="1" ht="16.899999999999999" customHeight="1">
      <c r="A66" s="97" t="s">
        <v>93</v>
      </c>
      <c r="B66" s="12"/>
      <c r="C66" s="92"/>
      <c r="D66" s="92"/>
      <c r="E66" s="12"/>
      <c r="F66" s="13"/>
      <c r="G66" s="14"/>
      <c r="H66" s="15">
        <v>2704</v>
      </c>
      <c r="I66" s="15"/>
      <c r="J66" s="15"/>
      <c r="K66" s="15"/>
      <c r="L66" s="15"/>
      <c r="M66" s="14">
        <f>SUM(M67:M76)</f>
        <v>0</v>
      </c>
    </row>
    <row r="67" spans="1:13" ht="25.5">
      <c r="A67" s="98" t="s">
        <v>140</v>
      </c>
      <c r="B67" s="16" t="s">
        <v>94</v>
      </c>
      <c r="C67" s="89" t="s">
        <v>163</v>
      </c>
      <c r="D67" s="89"/>
      <c r="E67" s="16" t="s">
        <v>190</v>
      </c>
      <c r="F67" s="115">
        <v>7</v>
      </c>
      <c r="G67" s="18"/>
      <c r="H67" s="19">
        <v>6482</v>
      </c>
      <c r="I67" s="19">
        <v>2704</v>
      </c>
      <c r="J67" s="19"/>
      <c r="K67" s="19">
        <v>10613</v>
      </c>
      <c r="L67" s="19"/>
      <c r="M67" s="18">
        <f t="shared" ref="M67:M75" si="2">F67*G67</f>
        <v>0</v>
      </c>
    </row>
    <row r="68" spans="1:13" ht="40.5" customHeight="1">
      <c r="A68" s="98" t="s">
        <v>141</v>
      </c>
      <c r="B68" s="16" t="s">
        <v>95</v>
      </c>
      <c r="C68" s="89" t="s">
        <v>96</v>
      </c>
      <c r="D68" s="89"/>
      <c r="E68" s="16" t="s">
        <v>190</v>
      </c>
      <c r="F68" s="115">
        <v>4</v>
      </c>
      <c r="G68" s="18"/>
      <c r="H68" s="19">
        <v>6485</v>
      </c>
      <c r="I68" s="19">
        <v>2704</v>
      </c>
      <c r="J68" s="19"/>
      <c r="K68" s="19">
        <v>10647</v>
      </c>
      <c r="L68" s="19"/>
      <c r="M68" s="18">
        <f t="shared" si="2"/>
        <v>0</v>
      </c>
    </row>
    <row r="69" spans="1:13" ht="40.5" customHeight="1">
      <c r="A69" s="98" t="s">
        <v>142</v>
      </c>
      <c r="B69" s="16" t="s">
        <v>365</v>
      </c>
      <c r="C69" s="89" t="s">
        <v>366</v>
      </c>
      <c r="D69" s="89"/>
      <c r="E69" s="16" t="s">
        <v>190</v>
      </c>
      <c r="F69" s="115">
        <v>3</v>
      </c>
      <c r="G69" s="18"/>
      <c r="H69" s="19">
        <v>6485</v>
      </c>
      <c r="I69" s="19">
        <v>2704</v>
      </c>
      <c r="J69" s="19"/>
      <c r="K69" s="19">
        <v>10647</v>
      </c>
      <c r="L69" s="19"/>
      <c r="M69" s="18">
        <f t="shared" si="2"/>
        <v>0</v>
      </c>
    </row>
    <row r="70" spans="1:13" ht="69.75" customHeight="1">
      <c r="A70" s="98" t="s">
        <v>144</v>
      </c>
      <c r="B70" s="16" t="s">
        <v>368</v>
      </c>
      <c r="C70" s="89" t="s">
        <v>367</v>
      </c>
      <c r="D70" s="89"/>
      <c r="E70" s="16" t="s">
        <v>190</v>
      </c>
      <c r="F70" s="115">
        <v>1</v>
      </c>
      <c r="G70" s="18"/>
      <c r="H70" s="19">
        <v>6485</v>
      </c>
      <c r="I70" s="19">
        <v>2704</v>
      </c>
      <c r="J70" s="19"/>
      <c r="K70" s="19">
        <v>10647</v>
      </c>
      <c r="L70" s="19"/>
      <c r="M70" s="18">
        <f t="shared" si="2"/>
        <v>0</v>
      </c>
    </row>
    <row r="71" spans="1:13" ht="69.75" customHeight="1">
      <c r="A71" s="98" t="s">
        <v>145</v>
      </c>
      <c r="B71" s="16" t="s">
        <v>368</v>
      </c>
      <c r="C71" s="89" t="s">
        <v>369</v>
      </c>
      <c r="D71" s="89"/>
      <c r="E71" s="16" t="s">
        <v>190</v>
      </c>
      <c r="F71" s="115">
        <v>1</v>
      </c>
      <c r="G71" s="18"/>
      <c r="H71" s="19">
        <v>6485</v>
      </c>
      <c r="I71" s="19">
        <v>2704</v>
      </c>
      <c r="J71" s="19"/>
      <c r="K71" s="19">
        <v>10647</v>
      </c>
      <c r="L71" s="19"/>
      <c r="M71" s="18">
        <f t="shared" si="2"/>
        <v>0</v>
      </c>
    </row>
    <row r="72" spans="1:13" ht="51">
      <c r="A72" s="98" t="s">
        <v>146</v>
      </c>
      <c r="B72" s="16" t="s">
        <v>101</v>
      </c>
      <c r="C72" s="89" t="s">
        <v>364</v>
      </c>
      <c r="D72" s="89"/>
      <c r="E72" s="16" t="s">
        <v>190</v>
      </c>
      <c r="F72" s="115">
        <v>5</v>
      </c>
      <c r="G72" s="18"/>
      <c r="H72" s="19">
        <v>6486</v>
      </c>
      <c r="I72" s="19">
        <v>2704</v>
      </c>
      <c r="J72" s="19"/>
      <c r="K72" s="19">
        <v>10769</v>
      </c>
      <c r="L72" s="19"/>
      <c r="M72" s="18">
        <f t="shared" si="2"/>
        <v>0</v>
      </c>
    </row>
    <row r="73" spans="1:13" ht="38.25">
      <c r="A73" s="98" t="s">
        <v>370</v>
      </c>
      <c r="B73" s="16" t="s">
        <v>371</v>
      </c>
      <c r="C73" s="89" t="s">
        <v>374</v>
      </c>
      <c r="D73" s="89"/>
      <c r="E73" s="16" t="s">
        <v>190</v>
      </c>
      <c r="F73" s="115">
        <v>1</v>
      </c>
      <c r="G73" s="18"/>
      <c r="H73" s="19">
        <v>6486</v>
      </c>
      <c r="I73" s="19">
        <v>2704</v>
      </c>
      <c r="J73" s="19"/>
      <c r="K73" s="19">
        <v>10769</v>
      </c>
      <c r="L73" s="19"/>
      <c r="M73" s="18">
        <f t="shared" si="2"/>
        <v>0</v>
      </c>
    </row>
    <row r="74" spans="1:13" ht="38.25">
      <c r="A74" s="98" t="s">
        <v>370</v>
      </c>
      <c r="B74" s="16" t="s">
        <v>371</v>
      </c>
      <c r="C74" s="89" t="s">
        <v>373</v>
      </c>
      <c r="D74" s="89"/>
      <c r="E74" s="16" t="s">
        <v>190</v>
      </c>
      <c r="F74" s="115">
        <v>3</v>
      </c>
      <c r="G74" s="18"/>
      <c r="H74" s="19">
        <v>6486</v>
      </c>
      <c r="I74" s="19">
        <v>2704</v>
      </c>
      <c r="J74" s="19"/>
      <c r="K74" s="19">
        <v>10769</v>
      </c>
      <c r="L74" s="19"/>
      <c r="M74" s="18">
        <f t="shared" si="2"/>
        <v>0</v>
      </c>
    </row>
    <row r="75" spans="1:13" ht="38.25">
      <c r="A75" s="98" t="s">
        <v>370</v>
      </c>
      <c r="B75" s="16" t="s">
        <v>371</v>
      </c>
      <c r="C75" s="89" t="s">
        <v>372</v>
      </c>
      <c r="D75" s="89"/>
      <c r="E75" s="16" t="s">
        <v>190</v>
      </c>
      <c r="F75" s="115">
        <v>2</v>
      </c>
      <c r="G75" s="18"/>
      <c r="H75" s="19">
        <v>6486</v>
      </c>
      <c r="I75" s="19">
        <v>2704</v>
      </c>
      <c r="J75" s="19"/>
      <c r="K75" s="19">
        <v>10769</v>
      </c>
      <c r="L75" s="19"/>
      <c r="M75" s="18">
        <f t="shared" si="2"/>
        <v>0</v>
      </c>
    </row>
    <row r="76" spans="1:13">
      <c r="A76" s="98"/>
      <c r="B76" s="16"/>
      <c r="C76" s="89"/>
      <c r="D76" s="89"/>
      <c r="E76" s="16"/>
      <c r="F76" s="17"/>
      <c r="G76" s="18"/>
      <c r="H76" s="19"/>
      <c r="I76" s="19"/>
      <c r="J76" s="19"/>
      <c r="K76" s="19"/>
      <c r="L76" s="19"/>
      <c r="M76" s="18"/>
    </row>
    <row r="77" spans="1:13" s="11" customFormat="1" ht="16.899999999999999" customHeight="1">
      <c r="A77" s="97" t="s">
        <v>97</v>
      </c>
      <c r="B77" s="12"/>
      <c r="C77" s="92"/>
      <c r="D77" s="92"/>
      <c r="E77" s="12"/>
      <c r="F77" s="13"/>
      <c r="G77" s="14"/>
      <c r="H77" s="15">
        <v>2705</v>
      </c>
      <c r="I77" s="15"/>
      <c r="J77" s="15"/>
      <c r="K77" s="15"/>
      <c r="L77" s="15"/>
      <c r="M77" s="14">
        <f>SUM(M78:M80)</f>
        <v>0</v>
      </c>
    </row>
    <row r="78" spans="1:13" ht="76.5">
      <c r="A78" s="98" t="s">
        <v>140</v>
      </c>
      <c r="B78" s="16" t="s">
        <v>16</v>
      </c>
      <c r="C78" s="89" t="s">
        <v>15</v>
      </c>
      <c r="D78" s="89"/>
      <c r="E78" s="16" t="s">
        <v>115</v>
      </c>
      <c r="F78" s="17">
        <v>680</v>
      </c>
      <c r="G78" s="18"/>
      <c r="H78" s="19">
        <v>6490</v>
      </c>
      <c r="I78" s="19">
        <v>2705</v>
      </c>
      <c r="J78" s="19"/>
      <c r="K78" s="19">
        <v>10834</v>
      </c>
      <c r="L78" s="19"/>
      <c r="M78" s="18">
        <f>F78*G78</f>
        <v>0</v>
      </c>
    </row>
    <row r="79" spans="1:13" ht="67.5" customHeight="1">
      <c r="A79" s="98" t="s">
        <v>141</v>
      </c>
      <c r="B79" s="16" t="s">
        <v>17</v>
      </c>
      <c r="C79" s="89" t="s">
        <v>375</v>
      </c>
      <c r="D79" s="89"/>
      <c r="E79" s="16" t="s">
        <v>115</v>
      </c>
      <c r="F79" s="17">
        <v>2.5</v>
      </c>
      <c r="G79" s="18"/>
      <c r="H79" s="19">
        <v>6491</v>
      </c>
      <c r="I79" s="19">
        <v>2705</v>
      </c>
      <c r="J79" s="19">
        <v>6490</v>
      </c>
      <c r="K79" s="19">
        <v>10908</v>
      </c>
      <c r="L79" s="19"/>
      <c r="M79" s="18">
        <f>F79*G79</f>
        <v>0</v>
      </c>
    </row>
    <row r="80" spans="1:13" ht="95.25" customHeight="1">
      <c r="A80" s="98" t="s">
        <v>142</v>
      </c>
      <c r="B80" s="16" t="s">
        <v>98</v>
      </c>
      <c r="C80" s="438" t="s">
        <v>376</v>
      </c>
      <c r="D80" s="103"/>
      <c r="E80" s="16" t="s">
        <v>105</v>
      </c>
      <c r="F80" s="115">
        <v>22</v>
      </c>
      <c r="G80" s="18"/>
      <c r="H80" s="19">
        <v>6495</v>
      </c>
      <c r="I80" s="19">
        <v>2705</v>
      </c>
      <c r="J80" s="19"/>
      <c r="K80" s="19">
        <v>10947</v>
      </c>
      <c r="L80" s="19"/>
      <c r="M80" s="18">
        <f>F80*G80</f>
        <v>0</v>
      </c>
    </row>
    <row r="81" spans="1:13">
      <c r="A81" s="98"/>
      <c r="B81" s="16"/>
      <c r="C81" s="89"/>
      <c r="D81" s="89"/>
      <c r="E81" s="16"/>
      <c r="F81" s="17"/>
      <c r="G81" s="18"/>
      <c r="H81" s="19"/>
      <c r="I81" s="19"/>
      <c r="J81" s="19"/>
      <c r="K81" s="19"/>
      <c r="L81" s="19"/>
      <c r="M81" s="18"/>
    </row>
    <row r="82" spans="1:13" s="11" customFormat="1" ht="16.899999999999999" customHeight="1">
      <c r="A82" s="101"/>
      <c r="B82" s="4"/>
      <c r="C82" s="93"/>
      <c r="D82" s="93"/>
      <c r="E82" s="4"/>
      <c r="F82" s="6"/>
      <c r="G82" s="8"/>
      <c r="H82"/>
      <c r="I82"/>
      <c r="J82"/>
      <c r="K82"/>
      <c r="L82"/>
      <c r="M82" s="10"/>
    </row>
    <row r="83" spans="1:13" s="11" customFormat="1">
      <c r="A83" s="101"/>
      <c r="B83" s="4"/>
      <c r="C83" s="93"/>
      <c r="D83" s="93"/>
      <c r="E83" s="4"/>
      <c r="F83" s="6"/>
      <c r="G83" s="8"/>
      <c r="H83"/>
      <c r="I83"/>
      <c r="J83"/>
      <c r="K83"/>
      <c r="L83"/>
      <c r="M83" s="10"/>
    </row>
    <row r="85" spans="1:13" s="11" customFormat="1">
      <c r="A85" s="101"/>
      <c r="B85" s="4"/>
      <c r="C85" s="93"/>
      <c r="D85" s="93"/>
      <c r="E85" s="4"/>
      <c r="F85" s="6"/>
      <c r="G85" s="8"/>
      <c r="H85"/>
      <c r="I85"/>
      <c r="J85"/>
      <c r="K85"/>
      <c r="L85"/>
      <c r="M85" s="10"/>
    </row>
    <row r="87" spans="1:13" s="11" customFormat="1">
      <c r="A87" s="101"/>
      <c r="B87" s="4"/>
      <c r="C87" s="93"/>
      <c r="D87" s="93"/>
      <c r="E87" s="4"/>
      <c r="F87" s="6"/>
      <c r="G87" s="8"/>
      <c r="H87"/>
      <c r="I87"/>
      <c r="J87"/>
      <c r="K87"/>
      <c r="L87"/>
      <c r="M87" s="10"/>
    </row>
    <row r="89" spans="1:13" s="11" customFormat="1">
      <c r="A89" s="101"/>
      <c r="B89" s="4"/>
      <c r="C89" s="93"/>
      <c r="D89" s="93"/>
      <c r="E89" s="4"/>
      <c r="F89" s="6"/>
      <c r="G89" s="8"/>
      <c r="H89"/>
      <c r="I89"/>
      <c r="J89"/>
      <c r="K89"/>
      <c r="L89"/>
      <c r="M89" s="10"/>
    </row>
  </sheetData>
  <mergeCells count="2">
    <mergeCell ref="C60:D60"/>
    <mergeCell ref="A1:M1"/>
  </mergeCells>
  <phoneticPr fontId="1" type="noConversion"/>
  <pageMargins left="0.70866141732283472" right="0.70866141732283472" top="0.74803149606299213" bottom="0.74803149606299213" header="0.31496062992125984" footer="0.31496062992125984"/>
  <pageSetup paperSize="9" scale="62" orientation="portrait" r:id="rId1"/>
  <headerFooter>
    <oddHeader>&amp;CProjekt Dolenje in Gorenje Ponikve:
Kanalizacija, rekonstrukcija vodovoda in pločnik med naseljema</oddHeader>
    <oddFooter>&amp;R&amp;P/&amp;N</oddFooter>
  </headerFooter>
  <rowBreaks count="2" manualBreakCount="2">
    <brk id="32" max="16383" man="1"/>
    <brk id="59" max="16383" man="1"/>
  </rowBreaks>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314"/>
  <sheetViews>
    <sheetView view="pageBreakPreview" zoomScale="150" zoomScaleNormal="130" zoomScaleSheetLayoutView="150" workbookViewId="0">
      <selection activeCell="J8" sqref="J8"/>
    </sheetView>
  </sheetViews>
  <sheetFormatPr defaultRowHeight="12.75"/>
  <cols>
    <col min="1" max="1" width="3.42578125" customWidth="1"/>
    <col min="2" max="2" width="47.42578125" customWidth="1"/>
    <col min="3" max="3" width="1.7109375" customWidth="1"/>
    <col min="4" max="4" width="6.7109375" customWidth="1"/>
    <col min="5" max="5" width="0.7109375" customWidth="1"/>
    <col min="6" max="6" width="8.140625" style="105" customWidth="1"/>
    <col min="7" max="7" width="0.7109375" customWidth="1"/>
    <col min="8" max="8" width="12.7109375" style="104" customWidth="1"/>
    <col min="9" max="9" width="0.7109375" style="108" customWidth="1"/>
    <col min="10" max="10" width="12.85546875" style="104" bestFit="1" customWidth="1"/>
  </cols>
  <sheetData>
    <row r="1" spans="1:10" ht="25.5">
      <c r="A1" s="132" t="s">
        <v>51</v>
      </c>
      <c r="B1" s="132" t="s">
        <v>52</v>
      </c>
      <c r="C1" s="132"/>
      <c r="D1" s="133" t="s">
        <v>53</v>
      </c>
      <c r="E1" s="133"/>
      <c r="F1" s="134" t="s">
        <v>54</v>
      </c>
      <c r="G1" s="134"/>
      <c r="H1" s="135" t="s">
        <v>55</v>
      </c>
      <c r="I1" s="135"/>
      <c r="J1" s="133" t="s">
        <v>56</v>
      </c>
    </row>
    <row r="2" spans="1:10" ht="14.25">
      <c r="A2" s="137"/>
      <c r="B2" s="138"/>
      <c r="C2" s="138"/>
      <c r="D2" s="139"/>
      <c r="E2" s="139"/>
      <c r="F2" s="140"/>
      <c r="G2" s="141"/>
      <c r="H2" s="142"/>
      <c r="I2" s="143"/>
      <c r="J2" s="139"/>
    </row>
    <row r="3" spans="1:10" ht="15.75">
      <c r="A3" s="144"/>
      <c r="B3" s="144" t="s">
        <v>752</v>
      </c>
      <c r="C3" s="144"/>
      <c r="D3" s="145"/>
      <c r="E3" s="145"/>
      <c r="F3" s="146"/>
      <c r="G3" s="147"/>
      <c r="H3" s="148"/>
      <c r="I3" s="149"/>
      <c r="J3" s="150"/>
    </row>
    <row r="4" spans="1:10" ht="15.75">
      <c r="A4" s="639" t="s">
        <v>58</v>
      </c>
      <c r="B4" s="639" t="s">
        <v>57</v>
      </c>
      <c r="C4" s="639"/>
      <c r="D4" s="640"/>
      <c r="E4" s="640"/>
      <c r="F4" s="641"/>
      <c r="G4" s="642"/>
      <c r="H4" s="643"/>
      <c r="I4" s="644"/>
      <c r="J4" s="645">
        <f>J17</f>
        <v>0</v>
      </c>
    </row>
    <row r="5" spans="1:10" ht="15.75">
      <c r="A5" s="144" t="s">
        <v>61</v>
      </c>
      <c r="B5" s="144" t="s">
        <v>76</v>
      </c>
      <c r="C5" s="144"/>
      <c r="D5" s="145"/>
      <c r="E5" s="145"/>
      <c r="F5" s="146"/>
      <c r="G5" s="147"/>
      <c r="H5" s="148"/>
      <c r="I5" s="149"/>
      <c r="J5" s="168">
        <f>J42</f>
        <v>0</v>
      </c>
    </row>
    <row r="6" spans="1:10" ht="15.75">
      <c r="A6" s="144" t="s">
        <v>63</v>
      </c>
      <c r="B6" s="144" t="s">
        <v>791</v>
      </c>
      <c r="C6" s="144"/>
      <c r="D6" s="145"/>
      <c r="E6" s="145"/>
      <c r="F6" s="146"/>
      <c r="G6" s="147"/>
      <c r="H6" s="148"/>
      <c r="I6" s="149"/>
      <c r="J6" s="168">
        <f>J88</f>
        <v>0</v>
      </c>
    </row>
    <row r="7" spans="1:10" ht="15.75">
      <c r="A7" s="646" t="s">
        <v>67</v>
      </c>
      <c r="B7" s="646" t="s">
        <v>31</v>
      </c>
      <c r="C7" s="646"/>
      <c r="D7" s="647"/>
      <c r="E7" s="647"/>
      <c r="F7" s="648"/>
      <c r="G7" s="649"/>
      <c r="H7" s="650"/>
      <c r="I7" s="651"/>
      <c r="J7" s="652">
        <f>J94</f>
        <v>0</v>
      </c>
    </row>
    <row r="8" spans="1:10" ht="15.75">
      <c r="A8" s="144"/>
      <c r="B8" s="144" t="s">
        <v>792</v>
      </c>
      <c r="C8" s="144"/>
      <c r="D8" s="145"/>
      <c r="E8" s="145"/>
      <c r="F8" s="146"/>
      <c r="G8" s="147"/>
      <c r="H8" s="148"/>
      <c r="I8" s="149"/>
      <c r="J8" s="150">
        <f>SUM(J4:J7)</f>
        <v>0</v>
      </c>
    </row>
    <row r="9" spans="1:10" ht="15.75">
      <c r="A9" s="151"/>
      <c r="B9" s="151"/>
      <c r="C9" s="151"/>
      <c r="D9" s="152"/>
      <c r="E9" s="152"/>
      <c r="F9" s="153"/>
      <c r="G9" s="154"/>
      <c r="H9" s="155"/>
      <c r="I9" s="156"/>
      <c r="J9" s="155"/>
    </row>
    <row r="10" spans="1:10" ht="14.25">
      <c r="A10" s="158"/>
      <c r="B10" s="159"/>
      <c r="C10" s="159"/>
      <c r="D10" s="160"/>
      <c r="E10" s="160"/>
      <c r="F10" s="161"/>
      <c r="G10" s="162"/>
      <c r="H10" s="150"/>
      <c r="I10" s="163"/>
      <c r="J10" s="150"/>
    </row>
    <row r="11" spans="1:10" ht="15">
      <c r="A11" s="164" t="s">
        <v>58</v>
      </c>
      <c r="B11" s="164" t="s">
        <v>57</v>
      </c>
      <c r="C11" s="164"/>
      <c r="D11" s="165"/>
      <c r="E11" s="165"/>
      <c r="F11" s="166"/>
      <c r="G11" s="167"/>
      <c r="H11" s="168"/>
      <c r="I11" s="169"/>
      <c r="J11" s="150"/>
    </row>
    <row r="12" spans="1:10" ht="14.25">
      <c r="A12" s="137"/>
      <c r="B12" s="138"/>
      <c r="C12" s="138"/>
      <c r="D12" s="160"/>
      <c r="E12" s="160"/>
      <c r="F12" s="170"/>
      <c r="G12" s="171"/>
      <c r="H12" s="150"/>
      <c r="I12" s="163"/>
      <c r="J12" s="150"/>
    </row>
    <row r="13" spans="1:10">
      <c r="A13" s="172" t="s">
        <v>58</v>
      </c>
      <c r="B13" s="173" t="s">
        <v>753</v>
      </c>
      <c r="C13" s="173"/>
      <c r="D13" s="174" t="s">
        <v>182</v>
      </c>
      <c r="E13" s="160">
        <f>165+255+55+20</f>
        <v>495</v>
      </c>
      <c r="F13" s="175">
        <v>1</v>
      </c>
      <c r="G13" s="167">
        <v>2</v>
      </c>
      <c r="H13" s="176"/>
      <c r="I13" s="163"/>
      <c r="J13" s="176">
        <f>F13*H13</f>
        <v>0</v>
      </c>
    </row>
    <row r="14" spans="1:10">
      <c r="A14" s="172"/>
      <c r="B14" s="158"/>
      <c r="C14" s="158"/>
      <c r="D14" s="160"/>
      <c r="E14" s="160"/>
      <c r="F14" s="160"/>
      <c r="G14" s="179"/>
      <c r="H14" s="150"/>
      <c r="I14" s="163"/>
      <c r="J14" s="150"/>
    </row>
    <row r="15" spans="1:10" ht="38.25">
      <c r="A15" s="172" t="s">
        <v>61</v>
      </c>
      <c r="B15" s="173" t="s">
        <v>70</v>
      </c>
      <c r="C15" s="173"/>
      <c r="D15" s="174" t="s">
        <v>71</v>
      </c>
      <c r="E15" s="165"/>
      <c r="F15" s="175">
        <v>5</v>
      </c>
      <c r="G15" s="167"/>
      <c r="H15" s="176"/>
      <c r="I15" s="182"/>
      <c r="J15" s="176">
        <f>F15*H15</f>
        <v>0</v>
      </c>
    </row>
    <row r="16" spans="1:10">
      <c r="A16" s="172"/>
      <c r="B16" s="173"/>
      <c r="C16" s="173"/>
      <c r="D16" s="165"/>
      <c r="E16" s="165"/>
      <c r="F16" s="166"/>
      <c r="G16" s="167"/>
      <c r="H16" s="168"/>
      <c r="I16" s="182"/>
      <c r="J16" s="168"/>
    </row>
    <row r="17" spans="1:10" ht="13.5" thickBot="1">
      <c r="A17" s="183"/>
      <c r="B17" s="184" t="s">
        <v>75</v>
      </c>
      <c r="C17" s="184"/>
      <c r="D17" s="185"/>
      <c r="E17" s="185"/>
      <c r="F17" s="186"/>
      <c r="G17" s="185"/>
      <c r="H17" s="187"/>
      <c r="I17" s="188"/>
      <c r="J17" s="638">
        <f>SUM(J13:J15)</f>
        <v>0</v>
      </c>
    </row>
    <row r="18" spans="1:10" ht="13.5" thickTop="1">
      <c r="A18" s="190"/>
      <c r="B18" s="191"/>
      <c r="C18" s="191"/>
      <c r="D18" s="192"/>
      <c r="E18" s="192"/>
      <c r="F18" s="165"/>
      <c r="G18" s="192"/>
      <c r="H18" s="193"/>
      <c r="I18" s="182"/>
      <c r="J18" s="194"/>
    </row>
    <row r="19" spans="1:10">
      <c r="A19" s="190"/>
      <c r="B19" s="191"/>
      <c r="C19" s="191"/>
      <c r="D19" s="192"/>
      <c r="E19" s="192"/>
      <c r="F19" s="165"/>
      <c r="G19" s="192"/>
      <c r="H19" s="193"/>
      <c r="I19" s="182"/>
      <c r="J19" s="194"/>
    </row>
    <row r="20" spans="1:10" ht="15">
      <c r="A20" s="195" t="s">
        <v>61</v>
      </c>
      <c r="B20" s="196" t="s">
        <v>76</v>
      </c>
      <c r="C20" s="196"/>
      <c r="D20" s="160"/>
      <c r="E20" s="160"/>
      <c r="F20" s="170"/>
      <c r="G20" s="171"/>
      <c r="H20" s="197"/>
      <c r="I20" s="180"/>
      <c r="J20" s="198"/>
    </row>
    <row r="21" spans="1:10" ht="15">
      <c r="A21" s="195"/>
      <c r="B21" s="196"/>
      <c r="C21" s="196"/>
      <c r="D21" s="160"/>
      <c r="E21" s="160"/>
      <c r="F21" s="170"/>
      <c r="G21" s="171"/>
      <c r="H21" s="197"/>
      <c r="I21" s="180"/>
      <c r="J21" s="198"/>
    </row>
    <row r="22" spans="1:10" ht="38.25">
      <c r="A22" s="172" t="s">
        <v>58</v>
      </c>
      <c r="B22" s="173" t="s">
        <v>77</v>
      </c>
      <c r="C22" s="173"/>
      <c r="D22" s="160"/>
      <c r="E22" s="160"/>
      <c r="F22" s="170"/>
      <c r="G22" s="171"/>
      <c r="H22" s="197"/>
      <c r="I22" s="180"/>
      <c r="J22" s="198"/>
    </row>
    <row r="23" spans="1:10" ht="15">
      <c r="A23" s="195"/>
      <c r="B23" s="196"/>
      <c r="C23" s="196"/>
      <c r="D23" s="174" t="s">
        <v>108</v>
      </c>
      <c r="E23" s="160"/>
      <c r="F23" s="175">
        <f>30*0.2</f>
        <v>6</v>
      </c>
      <c r="G23" s="171"/>
      <c r="H23" s="201"/>
      <c r="I23" s="180"/>
      <c r="J23" s="202">
        <f>F23*H23</f>
        <v>0</v>
      </c>
    </row>
    <row r="24" spans="1:10" ht="15">
      <c r="A24" s="195"/>
      <c r="B24" s="196"/>
      <c r="C24" s="196"/>
      <c r="D24" s="160"/>
      <c r="E24" s="160"/>
      <c r="F24" s="170"/>
      <c r="G24" s="171"/>
      <c r="H24" s="197"/>
      <c r="I24" s="180"/>
      <c r="J24" s="198"/>
    </row>
    <row r="25" spans="1:10" ht="63.75">
      <c r="A25" s="203" t="s">
        <v>61</v>
      </c>
      <c r="B25" s="629" t="s">
        <v>754</v>
      </c>
      <c r="C25" s="205"/>
      <c r="D25" s="206"/>
      <c r="E25" s="206"/>
      <c r="F25" s="207"/>
      <c r="G25" s="208"/>
      <c r="H25" s="209"/>
      <c r="I25" s="180"/>
      <c r="J25" s="194"/>
    </row>
    <row r="26" spans="1:10" ht="15.75">
      <c r="A26" s="210"/>
      <c r="B26" s="205" t="s">
        <v>78</v>
      </c>
      <c r="C26" s="205"/>
      <c r="D26" s="211" t="s">
        <v>108</v>
      </c>
      <c r="E26" s="206"/>
      <c r="F26" s="212">
        <v>135</v>
      </c>
      <c r="G26" s="208"/>
      <c r="H26" s="213"/>
      <c r="I26" s="180"/>
      <c r="J26" s="202">
        <f>F26*H26</f>
        <v>0</v>
      </c>
    </row>
    <row r="27" spans="1:10">
      <c r="A27" s="203"/>
      <c r="B27" s="205" t="s">
        <v>79</v>
      </c>
      <c r="C27" s="205"/>
      <c r="D27" s="211" t="s">
        <v>108</v>
      </c>
      <c r="E27" s="206"/>
      <c r="F27" s="212">
        <f>F26/20</f>
        <v>6.75</v>
      </c>
      <c r="G27" s="208"/>
      <c r="H27" s="213"/>
      <c r="I27" s="180"/>
      <c r="J27" s="202">
        <f>F27*H27</f>
        <v>0</v>
      </c>
    </row>
    <row r="28" spans="1:10">
      <c r="A28" s="203"/>
      <c r="B28" s="173"/>
      <c r="C28" s="205"/>
      <c r="D28" s="214"/>
      <c r="E28" s="206"/>
      <c r="F28" s="207"/>
      <c r="G28" s="208"/>
      <c r="H28" s="215"/>
      <c r="I28" s="180"/>
      <c r="J28" s="194"/>
    </row>
    <row r="29" spans="1:10" ht="25.5">
      <c r="A29" s="203" t="s">
        <v>63</v>
      </c>
      <c r="B29" s="173" t="s">
        <v>755</v>
      </c>
      <c r="C29" s="205"/>
      <c r="D29" s="206"/>
      <c r="E29" s="206"/>
      <c r="F29" s="216"/>
      <c r="G29" s="217"/>
      <c r="H29" s="209"/>
      <c r="I29" s="180"/>
      <c r="J29" s="218"/>
    </row>
    <row r="30" spans="1:10">
      <c r="A30" s="203"/>
      <c r="B30" s="205"/>
      <c r="C30" s="205"/>
      <c r="D30" s="211" t="s">
        <v>105</v>
      </c>
      <c r="E30" s="206"/>
      <c r="F30" s="220">
        <f>3.8*8.8</f>
        <v>33.44</v>
      </c>
      <c r="G30" s="221"/>
      <c r="H30" s="213"/>
      <c r="I30" s="180"/>
      <c r="J30" s="202">
        <f>F30*H30</f>
        <v>0</v>
      </c>
    </row>
    <row r="31" spans="1:10">
      <c r="A31" s="172"/>
      <c r="B31" s="224"/>
      <c r="C31" s="225"/>
      <c r="D31" s="160"/>
      <c r="E31" s="160"/>
      <c r="F31" s="166"/>
      <c r="G31" s="167"/>
      <c r="H31" s="215"/>
      <c r="I31" s="169"/>
      <c r="J31" s="194"/>
    </row>
    <row r="32" spans="1:10" ht="25.5">
      <c r="A32" s="172" t="s">
        <v>68</v>
      </c>
      <c r="B32" s="173" t="s">
        <v>756</v>
      </c>
      <c r="C32" s="225"/>
      <c r="D32" s="174" t="s">
        <v>108</v>
      </c>
      <c r="E32" s="160"/>
      <c r="F32" s="175">
        <f>F30*0.3</f>
        <v>10.031999999999998</v>
      </c>
      <c r="G32" s="167"/>
      <c r="H32" s="213"/>
      <c r="I32" s="169"/>
      <c r="J32" s="202">
        <f>F32*H32</f>
        <v>0</v>
      </c>
    </row>
    <row r="33" spans="1:10">
      <c r="A33" s="172"/>
      <c r="B33" s="173"/>
      <c r="C33" s="225"/>
      <c r="D33" s="165"/>
      <c r="E33" s="160"/>
      <c r="F33" s="166"/>
      <c r="G33" s="167"/>
      <c r="H33" s="215"/>
      <c r="I33" s="169"/>
      <c r="J33" s="194"/>
    </row>
    <row r="34" spans="1:10" ht="76.5">
      <c r="A34" s="172" t="s">
        <v>69</v>
      </c>
      <c r="B34" s="224" t="s">
        <v>774</v>
      </c>
      <c r="C34" s="226"/>
      <c r="D34" s="179"/>
      <c r="E34" s="179"/>
      <c r="F34" s="166"/>
      <c r="G34" s="167"/>
      <c r="H34" s="198"/>
      <c r="I34" s="163"/>
      <c r="J34" s="198"/>
    </row>
    <row r="35" spans="1:10">
      <c r="A35" s="172"/>
      <c r="B35" s="173" t="s">
        <v>78</v>
      </c>
      <c r="C35" s="173"/>
      <c r="D35" s="174" t="s">
        <v>108</v>
      </c>
      <c r="E35" s="160"/>
      <c r="F35" s="175">
        <v>42</v>
      </c>
      <c r="G35" s="167"/>
      <c r="H35" s="213"/>
      <c r="I35" s="163"/>
      <c r="J35" s="202">
        <f>F35*H35</f>
        <v>0</v>
      </c>
    </row>
    <row r="36" spans="1:10">
      <c r="A36" s="172"/>
      <c r="B36" s="173" t="s">
        <v>79</v>
      </c>
      <c r="C36" s="173"/>
      <c r="D36" s="174" t="s">
        <v>108</v>
      </c>
      <c r="E36" s="160"/>
      <c r="F36" s="181">
        <f>F35/20</f>
        <v>2.1</v>
      </c>
      <c r="G36" s="167"/>
      <c r="H36" s="213"/>
      <c r="I36" s="163"/>
      <c r="J36" s="202">
        <f>F36*H36</f>
        <v>0</v>
      </c>
    </row>
    <row r="37" spans="1:10">
      <c r="A37" s="172"/>
      <c r="B37" s="173"/>
      <c r="C37" s="173"/>
      <c r="D37" s="165"/>
      <c r="E37" s="160"/>
      <c r="F37" s="166"/>
      <c r="G37" s="167"/>
      <c r="H37" s="215"/>
      <c r="I37" s="163"/>
      <c r="J37" s="194"/>
    </row>
    <row r="38" spans="1:10" ht="63.75">
      <c r="A38" s="227" t="s">
        <v>72</v>
      </c>
      <c r="B38" s="228" t="s">
        <v>26</v>
      </c>
      <c r="C38" s="228"/>
      <c r="D38" s="229" t="s">
        <v>105</v>
      </c>
      <c r="E38" s="230"/>
      <c r="F38" s="231">
        <v>35</v>
      </c>
      <c r="G38" s="192"/>
      <c r="H38" s="202"/>
      <c r="I38" s="169"/>
      <c r="J38" s="202">
        <f>F38*H38</f>
        <v>0</v>
      </c>
    </row>
    <row r="39" spans="1:10">
      <c r="A39" s="172"/>
      <c r="B39" s="224"/>
      <c r="C39" s="226"/>
      <c r="D39" s="160"/>
      <c r="E39" s="160"/>
      <c r="F39" s="166"/>
      <c r="G39" s="167"/>
      <c r="H39" s="215"/>
      <c r="I39" s="163"/>
      <c r="J39" s="194"/>
    </row>
    <row r="40" spans="1:10" ht="25.5">
      <c r="A40" s="172" t="s">
        <v>73</v>
      </c>
      <c r="B40" s="228" t="s">
        <v>27</v>
      </c>
      <c r="C40" s="226"/>
      <c r="D40" s="174" t="s">
        <v>108</v>
      </c>
      <c r="E40" s="160"/>
      <c r="F40" s="175">
        <f>F26+F27-F35-F36</f>
        <v>97.65</v>
      </c>
      <c r="G40" s="167"/>
      <c r="H40" s="213"/>
      <c r="I40" s="163"/>
      <c r="J40" s="202">
        <f>F40*H40</f>
        <v>0</v>
      </c>
    </row>
    <row r="41" spans="1:10">
      <c r="A41" s="172"/>
      <c r="B41" s="228"/>
      <c r="C41" s="226"/>
      <c r="D41" s="165"/>
      <c r="E41" s="160"/>
      <c r="F41" s="166"/>
      <c r="G41" s="167"/>
      <c r="H41" s="215"/>
      <c r="I41" s="163"/>
      <c r="J41" s="194"/>
    </row>
    <row r="42" spans="1:10" ht="13.5" thickBot="1">
      <c r="A42" s="183"/>
      <c r="B42" s="232" t="s">
        <v>28</v>
      </c>
      <c r="C42" s="232"/>
      <c r="D42" s="233"/>
      <c r="E42" s="233"/>
      <c r="F42" s="234"/>
      <c r="G42" s="235"/>
      <c r="H42" s="189"/>
      <c r="I42" s="236"/>
      <c r="J42" s="638">
        <f>SUM(J23:J41)</f>
        <v>0</v>
      </c>
    </row>
    <row r="43" spans="1:10" ht="13.5" thickTop="1">
      <c r="A43" s="190"/>
      <c r="B43" s="237"/>
      <c r="C43" s="237"/>
      <c r="D43" s="238"/>
      <c r="E43" s="238"/>
      <c r="F43" s="166"/>
      <c r="G43" s="167"/>
      <c r="H43" s="194"/>
      <c r="I43" s="169"/>
      <c r="J43" s="194"/>
    </row>
    <row r="44" spans="1:10">
      <c r="A44" s="190"/>
      <c r="B44" s="237"/>
      <c r="C44" s="237"/>
      <c r="D44" s="238"/>
      <c r="E44" s="238"/>
      <c r="F44" s="166"/>
      <c r="G44" s="167"/>
      <c r="H44" s="194"/>
      <c r="I44" s="169"/>
      <c r="J44" s="194"/>
    </row>
    <row r="45" spans="1:10" ht="15">
      <c r="A45" s="195" t="s">
        <v>63</v>
      </c>
      <c r="B45" s="239" t="s">
        <v>790</v>
      </c>
      <c r="C45" s="239"/>
      <c r="D45" s="160"/>
      <c r="E45" s="160"/>
      <c r="F45" s="170"/>
      <c r="G45" s="171"/>
      <c r="H45" s="198"/>
      <c r="I45" s="163"/>
      <c r="J45" s="198"/>
    </row>
    <row r="46" spans="1:10" ht="15">
      <c r="A46" s="195"/>
      <c r="B46" s="631" t="s">
        <v>786</v>
      </c>
      <c r="C46" s="239"/>
      <c r="D46" s="160"/>
      <c r="E46" s="160"/>
      <c r="F46" s="170"/>
      <c r="G46" s="171"/>
      <c r="H46" s="198"/>
      <c r="I46" s="163"/>
      <c r="J46" s="198"/>
    </row>
    <row r="47" spans="1:10" ht="38.25">
      <c r="A47" s="172" t="s">
        <v>58</v>
      </c>
      <c r="B47" s="226" t="s">
        <v>800</v>
      </c>
      <c r="C47" s="226"/>
      <c r="D47" s="174" t="s">
        <v>190</v>
      </c>
      <c r="E47" s="160"/>
      <c r="F47" s="240">
        <v>1</v>
      </c>
      <c r="G47" s="223"/>
      <c r="H47" s="213"/>
      <c r="I47" s="163"/>
      <c r="J47" s="202">
        <f>F47*H47</f>
        <v>0</v>
      </c>
    </row>
    <row r="48" spans="1:10">
      <c r="A48" s="172"/>
      <c r="B48" s="630" t="s">
        <v>775</v>
      </c>
      <c r="C48" s="226"/>
      <c r="D48" s="165"/>
      <c r="E48" s="160"/>
      <c r="F48" s="222"/>
      <c r="G48" s="223"/>
      <c r="H48" s="215"/>
      <c r="I48" s="163"/>
      <c r="J48" s="194"/>
    </row>
    <row r="49" spans="1:10" ht="63.75">
      <c r="A49" s="172"/>
      <c r="B49" s="630" t="s">
        <v>776</v>
      </c>
      <c r="C49" s="226"/>
      <c r="D49" s="165"/>
      <c r="E49" s="160"/>
      <c r="F49" s="222"/>
      <c r="G49" s="223"/>
      <c r="H49" s="215"/>
      <c r="I49" s="163"/>
      <c r="J49" s="194"/>
    </row>
    <row r="50" spans="1:10" ht="51">
      <c r="A50" s="172"/>
      <c r="B50" s="630" t="s">
        <v>777</v>
      </c>
      <c r="C50" s="226"/>
      <c r="D50" s="165"/>
      <c r="E50" s="160"/>
      <c r="F50" s="222"/>
      <c r="G50" s="223"/>
      <c r="H50" s="215"/>
      <c r="I50" s="163"/>
      <c r="J50" s="194"/>
    </row>
    <row r="51" spans="1:10" ht="25.5">
      <c r="A51" s="172"/>
      <c r="B51" s="630" t="s">
        <v>757</v>
      </c>
      <c r="C51" s="226"/>
      <c r="D51" s="165"/>
      <c r="E51" s="160"/>
      <c r="F51" s="222"/>
      <c r="G51" s="223"/>
      <c r="H51" s="215"/>
      <c r="I51" s="163"/>
      <c r="J51" s="194"/>
    </row>
    <row r="52" spans="1:10" ht="51">
      <c r="A52" s="172"/>
      <c r="B52" s="630" t="s">
        <v>758</v>
      </c>
      <c r="C52" s="226"/>
      <c r="D52" s="165"/>
      <c r="E52" s="160"/>
      <c r="F52" s="222"/>
      <c r="G52" s="223"/>
      <c r="H52" s="215"/>
      <c r="I52" s="163"/>
      <c r="J52" s="194"/>
    </row>
    <row r="53" spans="1:10" ht="25.5">
      <c r="A53" s="172"/>
      <c r="B53" s="630" t="s">
        <v>759</v>
      </c>
      <c r="C53" s="226"/>
      <c r="D53" s="165"/>
      <c r="E53" s="160"/>
      <c r="F53" s="222"/>
      <c r="G53" s="223"/>
      <c r="H53" s="215"/>
      <c r="I53" s="163"/>
      <c r="J53" s="194"/>
    </row>
    <row r="54" spans="1:10" ht="25.5">
      <c r="A54" s="172"/>
      <c r="B54" s="630" t="s">
        <v>760</v>
      </c>
      <c r="C54" s="226"/>
      <c r="D54" s="165"/>
      <c r="E54" s="160"/>
      <c r="F54" s="222"/>
      <c r="G54" s="223"/>
      <c r="H54" s="215"/>
      <c r="I54" s="163"/>
      <c r="J54" s="194"/>
    </row>
    <row r="55" spans="1:10" ht="25.5">
      <c r="A55" s="172"/>
      <c r="B55" s="630" t="s">
        <v>761</v>
      </c>
      <c r="C55" s="226"/>
      <c r="D55" s="160"/>
      <c r="E55" s="160"/>
      <c r="F55" s="170"/>
      <c r="G55" s="171"/>
      <c r="H55" s="198"/>
      <c r="I55" s="163"/>
      <c r="J55" s="198"/>
    </row>
    <row r="56" spans="1:10">
      <c r="A56" s="172"/>
      <c r="B56" s="630"/>
      <c r="C56" s="226"/>
      <c r="D56" s="160"/>
      <c r="E56" s="160"/>
      <c r="F56" s="170"/>
      <c r="G56" s="171"/>
      <c r="H56" s="198"/>
      <c r="I56" s="163"/>
      <c r="J56" s="198"/>
    </row>
    <row r="57" spans="1:10">
      <c r="A57" s="172"/>
      <c r="B57" s="630" t="s">
        <v>785</v>
      </c>
      <c r="C57" s="226"/>
      <c r="D57" s="160"/>
      <c r="E57" s="160"/>
      <c r="F57" s="170"/>
      <c r="G57" s="171"/>
      <c r="H57" s="198"/>
      <c r="I57" s="163"/>
      <c r="J57" s="198"/>
    </row>
    <row r="58" spans="1:10" ht="25.5">
      <c r="A58" s="172" t="s">
        <v>61</v>
      </c>
      <c r="B58" s="630" t="s">
        <v>780</v>
      </c>
      <c r="C58" s="226"/>
      <c r="D58" s="174" t="s">
        <v>190</v>
      </c>
      <c r="E58" s="160"/>
      <c r="F58" s="240">
        <v>1</v>
      </c>
      <c r="G58" s="223"/>
      <c r="H58" s="213"/>
      <c r="I58" s="163"/>
      <c r="J58" s="202">
        <f>F58*H58</f>
        <v>0</v>
      </c>
    </row>
    <row r="59" spans="1:10">
      <c r="A59" s="172"/>
      <c r="B59" s="630" t="s">
        <v>775</v>
      </c>
      <c r="C59" s="226"/>
      <c r="D59" s="160"/>
      <c r="E59" s="160"/>
      <c r="F59" s="170"/>
      <c r="G59" s="171"/>
      <c r="H59" s="198"/>
      <c r="I59" s="163"/>
      <c r="J59" s="198"/>
    </row>
    <row r="60" spans="1:10">
      <c r="A60" s="172"/>
      <c r="B60" s="630" t="s">
        <v>781</v>
      </c>
      <c r="C60" s="226"/>
      <c r="D60" s="160"/>
      <c r="E60" s="160"/>
      <c r="F60" s="170"/>
      <c r="G60" s="171"/>
      <c r="H60" s="198"/>
      <c r="I60" s="163"/>
      <c r="J60" s="198"/>
    </row>
    <row r="61" spans="1:10" ht="25.5">
      <c r="A61" s="172"/>
      <c r="B61" s="630" t="s">
        <v>778</v>
      </c>
      <c r="C61" s="226"/>
      <c r="D61" s="160"/>
      <c r="E61" s="160"/>
      <c r="F61" s="170"/>
      <c r="G61" s="171"/>
      <c r="H61" s="198"/>
      <c r="I61" s="163"/>
      <c r="J61" s="198"/>
    </row>
    <row r="62" spans="1:10" ht="38.25">
      <c r="A62" s="172"/>
      <c r="B62" s="630" t="s">
        <v>779</v>
      </c>
      <c r="C62" s="226"/>
      <c r="D62" s="160"/>
      <c r="E62" s="160"/>
      <c r="F62" s="170"/>
      <c r="G62" s="171"/>
      <c r="H62" s="198"/>
      <c r="I62" s="163"/>
      <c r="J62" s="198"/>
    </row>
    <row r="63" spans="1:10" ht="25.5">
      <c r="A63" s="172"/>
      <c r="B63" s="630" t="s">
        <v>782</v>
      </c>
      <c r="C63" s="226"/>
      <c r="D63" s="160"/>
      <c r="E63" s="160"/>
      <c r="F63" s="170"/>
      <c r="G63" s="171"/>
      <c r="H63" s="198"/>
      <c r="I63" s="163"/>
      <c r="J63" s="198"/>
    </row>
    <row r="64" spans="1:10">
      <c r="A64" s="172"/>
      <c r="B64" s="630"/>
      <c r="C64" s="226"/>
      <c r="D64" s="160"/>
      <c r="E64" s="160"/>
      <c r="F64" s="170"/>
      <c r="G64" s="171"/>
      <c r="H64" s="198"/>
      <c r="I64" s="163"/>
      <c r="J64" s="198"/>
    </row>
    <row r="65" spans="1:10">
      <c r="A65" s="172"/>
      <c r="B65" s="630" t="s">
        <v>784</v>
      </c>
      <c r="C65" s="226"/>
      <c r="D65" s="160"/>
      <c r="E65" s="160"/>
      <c r="F65" s="170"/>
      <c r="G65" s="171"/>
      <c r="H65" s="198"/>
      <c r="I65" s="163"/>
      <c r="J65" s="198"/>
    </row>
    <row r="66" spans="1:10" ht="63.75">
      <c r="A66" s="172" t="s">
        <v>63</v>
      </c>
      <c r="B66" s="241" t="s">
        <v>787</v>
      </c>
      <c r="C66" s="241"/>
      <c r="D66" s="165"/>
      <c r="E66" s="165"/>
      <c r="F66" s="166"/>
      <c r="G66" s="167"/>
      <c r="H66" s="198"/>
      <c r="I66" s="163"/>
      <c r="J66" s="198"/>
    </row>
    <row r="67" spans="1:10">
      <c r="A67" s="172"/>
      <c r="B67" s="241"/>
      <c r="C67" s="241"/>
      <c r="D67" s="174" t="s">
        <v>190</v>
      </c>
      <c r="E67" s="165"/>
      <c r="F67" s="175">
        <v>1</v>
      </c>
      <c r="G67" s="167"/>
      <c r="H67" s="213"/>
      <c r="I67" s="163"/>
      <c r="J67" s="202">
        <f>F67*H67</f>
        <v>0</v>
      </c>
    </row>
    <row r="68" spans="1:10" ht="25.5">
      <c r="A68" s="172" t="s">
        <v>61</v>
      </c>
      <c r="B68" s="226" t="s">
        <v>762</v>
      </c>
      <c r="C68" s="226"/>
      <c r="D68" s="174"/>
      <c r="E68" s="160"/>
      <c r="F68" s="240"/>
      <c r="G68" s="223"/>
      <c r="H68" s="213"/>
      <c r="I68" s="163"/>
      <c r="J68" s="202"/>
    </row>
    <row r="69" spans="1:10">
      <c r="A69" s="172"/>
      <c r="B69" s="630" t="s">
        <v>766</v>
      </c>
      <c r="C69" s="226"/>
      <c r="D69" s="632" t="s">
        <v>190</v>
      </c>
      <c r="E69" s="632"/>
      <c r="F69" s="633">
        <v>2</v>
      </c>
      <c r="G69" s="634"/>
      <c r="H69" s="635"/>
      <c r="I69" s="636"/>
      <c r="J69" s="635">
        <f>F69*H69</f>
        <v>0</v>
      </c>
    </row>
    <row r="70" spans="1:10">
      <c r="A70" s="172"/>
      <c r="B70" s="630" t="s">
        <v>765</v>
      </c>
      <c r="C70" s="226"/>
      <c r="D70" s="632" t="s">
        <v>190</v>
      </c>
      <c r="E70" s="632"/>
      <c r="F70" s="633">
        <v>2</v>
      </c>
      <c r="G70" s="634"/>
      <c r="H70" s="635"/>
      <c r="I70" s="636"/>
      <c r="J70" s="635">
        <f t="shared" ref="J70:J74" si="0">F70*H70</f>
        <v>0</v>
      </c>
    </row>
    <row r="71" spans="1:10">
      <c r="A71" s="172"/>
      <c r="B71" s="630" t="s">
        <v>764</v>
      </c>
      <c r="C71" s="226"/>
      <c r="D71" s="632" t="s">
        <v>190</v>
      </c>
      <c r="E71" s="632"/>
      <c r="F71" s="633">
        <v>2</v>
      </c>
      <c r="G71" s="634"/>
      <c r="H71" s="635"/>
      <c r="I71" s="636"/>
      <c r="J71" s="635">
        <f t="shared" si="0"/>
        <v>0</v>
      </c>
    </row>
    <row r="72" spans="1:10">
      <c r="A72" s="172"/>
      <c r="B72" s="630" t="s">
        <v>763</v>
      </c>
      <c r="C72" s="226"/>
      <c r="D72" s="632" t="s">
        <v>190</v>
      </c>
      <c r="E72" s="632"/>
      <c r="F72" s="633">
        <v>2</v>
      </c>
      <c r="G72" s="634"/>
      <c r="H72" s="635"/>
      <c r="I72" s="636"/>
      <c r="J72" s="635">
        <f t="shared" si="0"/>
        <v>0</v>
      </c>
    </row>
    <row r="73" spans="1:10">
      <c r="A73" s="172"/>
      <c r="B73" s="630" t="s">
        <v>767</v>
      </c>
      <c r="C73" s="226"/>
      <c r="D73" s="632" t="s">
        <v>190</v>
      </c>
      <c r="E73" s="632"/>
      <c r="F73" s="633">
        <v>2</v>
      </c>
      <c r="G73" s="634"/>
      <c r="H73" s="635"/>
      <c r="I73" s="636"/>
      <c r="J73" s="635">
        <f t="shared" si="0"/>
        <v>0</v>
      </c>
    </row>
    <row r="74" spans="1:10" ht="25.5">
      <c r="A74" s="172"/>
      <c r="B74" s="630" t="s">
        <v>768</v>
      </c>
      <c r="C74" s="226"/>
      <c r="D74" s="632" t="s">
        <v>190</v>
      </c>
      <c r="E74" s="632"/>
      <c r="F74" s="633">
        <v>2</v>
      </c>
      <c r="G74" s="634"/>
      <c r="H74" s="635"/>
      <c r="I74" s="636"/>
      <c r="J74" s="635">
        <f t="shared" si="0"/>
        <v>0</v>
      </c>
    </row>
    <row r="75" spans="1:10" ht="25.5">
      <c r="A75" s="172"/>
      <c r="B75" s="630" t="s">
        <v>769</v>
      </c>
      <c r="C75" s="226"/>
      <c r="D75" s="165"/>
      <c r="E75" s="165"/>
      <c r="F75" s="166"/>
      <c r="G75" s="167"/>
      <c r="H75" s="194"/>
      <c r="I75" s="169"/>
      <c r="J75" s="194"/>
    </row>
    <row r="76" spans="1:10">
      <c r="A76" s="172"/>
      <c r="B76" s="630"/>
      <c r="C76" s="226"/>
      <c r="D76" s="165"/>
      <c r="E76" s="165"/>
      <c r="F76" s="166"/>
      <c r="G76" s="167"/>
      <c r="H76" s="194"/>
      <c r="I76" s="169"/>
      <c r="J76" s="194"/>
    </row>
    <row r="77" spans="1:10">
      <c r="A77" s="172"/>
      <c r="B77" s="226"/>
      <c r="C77" s="226"/>
      <c r="D77" s="160"/>
      <c r="E77" s="160"/>
      <c r="F77" s="170"/>
      <c r="G77" s="171"/>
      <c r="H77" s="198"/>
      <c r="I77" s="163"/>
      <c r="J77" s="198"/>
    </row>
    <row r="78" spans="1:10" ht="25.5">
      <c r="A78" s="172" t="s">
        <v>63</v>
      </c>
      <c r="B78" s="241" t="s">
        <v>770</v>
      </c>
      <c r="C78" s="241"/>
      <c r="D78" s="165"/>
      <c r="E78" s="165"/>
      <c r="F78" s="166"/>
      <c r="G78" s="167"/>
      <c r="H78" s="198"/>
      <c r="I78" s="163"/>
      <c r="J78" s="198"/>
    </row>
    <row r="79" spans="1:10">
      <c r="A79" s="172"/>
      <c r="B79" s="637" t="s">
        <v>771</v>
      </c>
      <c r="C79" s="241"/>
      <c r="D79" s="174" t="s">
        <v>190</v>
      </c>
      <c r="E79" s="165"/>
      <c r="F79" s="175">
        <v>2</v>
      </c>
      <c r="G79" s="167"/>
      <c r="H79" s="213"/>
      <c r="I79" s="163"/>
      <c r="J79" s="202">
        <f>F79*H79</f>
        <v>0</v>
      </c>
    </row>
    <row r="80" spans="1:10">
      <c r="A80" s="172"/>
      <c r="B80" s="637" t="s">
        <v>772</v>
      </c>
      <c r="C80" s="241"/>
      <c r="D80" s="174" t="s">
        <v>190</v>
      </c>
      <c r="E80" s="165"/>
      <c r="F80" s="175">
        <v>2</v>
      </c>
      <c r="G80" s="167"/>
      <c r="H80" s="213"/>
      <c r="I80" s="163"/>
      <c r="J80" s="202">
        <f>F80*H80</f>
        <v>0</v>
      </c>
    </row>
    <row r="81" spans="1:10">
      <c r="A81" s="172"/>
      <c r="B81" s="637" t="s">
        <v>788</v>
      </c>
      <c r="C81" s="241"/>
      <c r="D81" s="174" t="s">
        <v>190</v>
      </c>
      <c r="E81" s="165"/>
      <c r="F81" s="175">
        <v>1</v>
      </c>
      <c r="G81" s="167"/>
      <c r="H81" s="213"/>
      <c r="I81" s="163"/>
      <c r="J81" s="202">
        <f>F81*H81</f>
        <v>0</v>
      </c>
    </row>
    <row r="82" spans="1:10">
      <c r="A82" s="172"/>
      <c r="B82" s="637"/>
      <c r="C82" s="241"/>
      <c r="D82" s="165"/>
      <c r="E82" s="165"/>
      <c r="F82" s="166"/>
      <c r="G82" s="167"/>
      <c r="H82" s="215"/>
      <c r="I82" s="163"/>
      <c r="J82" s="194"/>
    </row>
    <row r="83" spans="1:10">
      <c r="A83" s="172"/>
      <c r="B83" s="241"/>
      <c r="C83" s="241"/>
      <c r="D83" s="160"/>
      <c r="E83" s="160"/>
      <c r="F83" s="170"/>
      <c r="G83" s="171"/>
      <c r="H83" s="198"/>
      <c r="I83" s="163"/>
      <c r="J83" s="198"/>
    </row>
    <row r="84" spans="1:10" ht="25.5">
      <c r="A84" s="172" t="s">
        <v>67</v>
      </c>
      <c r="B84" s="241" t="s">
        <v>773</v>
      </c>
      <c r="C84" s="241"/>
      <c r="D84" s="165"/>
      <c r="E84" s="165"/>
      <c r="F84" s="166"/>
      <c r="G84" s="167"/>
      <c r="H84" s="198"/>
      <c r="I84" s="163"/>
      <c r="J84" s="198"/>
    </row>
    <row r="85" spans="1:10">
      <c r="A85" s="172"/>
      <c r="B85" s="241"/>
      <c r="C85" s="241"/>
      <c r="D85" s="174" t="s">
        <v>190</v>
      </c>
      <c r="E85" s="165"/>
      <c r="F85" s="175">
        <v>2</v>
      </c>
      <c r="G85" s="167"/>
      <c r="H85" s="213"/>
      <c r="I85" s="163"/>
      <c r="J85" s="202">
        <f>F85*H85</f>
        <v>0</v>
      </c>
    </row>
    <row r="86" spans="1:10">
      <c r="A86" s="172"/>
      <c r="B86" s="241"/>
      <c r="C86" s="241"/>
      <c r="D86" s="160"/>
      <c r="E86" s="160"/>
      <c r="F86" s="170"/>
      <c r="G86" s="171"/>
      <c r="H86" s="198"/>
      <c r="I86" s="163"/>
      <c r="J86" s="198"/>
    </row>
    <row r="87" spans="1:10">
      <c r="A87" s="172"/>
      <c r="B87" s="241"/>
      <c r="C87" s="241"/>
      <c r="D87" s="160"/>
      <c r="E87" s="160"/>
      <c r="F87" s="170"/>
      <c r="G87" s="171"/>
      <c r="H87" s="198"/>
      <c r="I87" s="163"/>
      <c r="J87" s="198"/>
    </row>
    <row r="88" spans="1:10" ht="13.5" thickBot="1">
      <c r="A88" s="243"/>
      <c r="B88" s="244" t="s">
        <v>783</v>
      </c>
      <c r="C88" s="244"/>
      <c r="D88" s="186"/>
      <c r="E88" s="186"/>
      <c r="F88" s="234"/>
      <c r="G88" s="235"/>
      <c r="H88" s="189"/>
      <c r="I88" s="236"/>
      <c r="J88" s="638">
        <f>SUM(J47:J86)</f>
        <v>0</v>
      </c>
    </row>
    <row r="89" spans="1:10" ht="13.5" thickTop="1">
      <c r="A89" s="245"/>
      <c r="B89" s="246"/>
      <c r="C89" s="246"/>
      <c r="D89" s="165"/>
      <c r="E89" s="165"/>
      <c r="F89" s="166"/>
      <c r="G89" s="167"/>
      <c r="H89" s="194"/>
      <c r="I89" s="169"/>
      <c r="J89" s="194"/>
    </row>
    <row r="90" spans="1:10" ht="15.75">
      <c r="A90" s="247" t="s">
        <v>67</v>
      </c>
      <c r="B90" s="248" t="s">
        <v>31</v>
      </c>
      <c r="C90" s="248"/>
      <c r="D90" s="192"/>
      <c r="E90" s="192"/>
      <c r="F90" s="166"/>
      <c r="G90" s="167"/>
      <c r="H90" s="150"/>
      <c r="I90" s="163"/>
      <c r="J90" s="198"/>
    </row>
    <row r="91" spans="1:10">
      <c r="A91" s="172"/>
      <c r="B91" s="249"/>
      <c r="C91" s="249"/>
      <c r="D91" s="250"/>
      <c r="E91" s="250"/>
      <c r="F91" s="170"/>
      <c r="G91" s="171"/>
      <c r="H91" s="150"/>
      <c r="I91" s="163"/>
      <c r="J91" s="198"/>
    </row>
    <row r="92" spans="1:10">
      <c r="A92" s="172" t="s">
        <v>67</v>
      </c>
      <c r="B92" s="173" t="s">
        <v>789</v>
      </c>
      <c r="C92" s="173"/>
      <c r="D92" s="251" t="s">
        <v>190</v>
      </c>
      <c r="E92" s="179"/>
      <c r="F92" s="175">
        <f>F13</f>
        <v>1</v>
      </c>
      <c r="G92" s="167"/>
      <c r="H92" s="213"/>
      <c r="I92" s="163"/>
      <c r="J92" s="202">
        <f>F92*H92</f>
        <v>0</v>
      </c>
    </row>
    <row r="93" spans="1:10">
      <c r="A93" s="172"/>
      <c r="B93" s="173"/>
      <c r="C93" s="173"/>
      <c r="D93" s="179"/>
      <c r="E93" s="179"/>
      <c r="F93" s="170"/>
      <c r="G93" s="171"/>
      <c r="H93" s="150"/>
      <c r="I93" s="163"/>
      <c r="J93" s="198"/>
    </row>
    <row r="94" spans="1:10" ht="13.5" thickBot="1">
      <c r="A94" s="183"/>
      <c r="B94" s="252" t="s">
        <v>36</v>
      </c>
      <c r="C94" s="252"/>
      <c r="D94" s="253"/>
      <c r="E94" s="253"/>
      <c r="F94" s="234"/>
      <c r="G94" s="235"/>
      <c r="H94" s="254"/>
      <c r="I94" s="236"/>
      <c r="J94" s="189">
        <f>SUM(J92:J92)</f>
        <v>0</v>
      </c>
    </row>
    <row r="95" spans="1:10" ht="13.5" thickTop="1">
      <c r="A95" s="190"/>
      <c r="B95" s="255"/>
      <c r="C95" s="255"/>
      <c r="D95" s="256"/>
      <c r="E95" s="256"/>
      <c r="F95" s="166"/>
      <c r="G95" s="167"/>
      <c r="H95" s="168"/>
      <c r="I95" s="169"/>
      <c r="J95" s="194"/>
    </row>
    <row r="96" spans="1:10">
      <c r="A96" s="190"/>
      <c r="B96" s="255"/>
      <c r="C96" s="255"/>
      <c r="D96" s="256"/>
      <c r="E96" s="256"/>
      <c r="F96" s="166"/>
      <c r="G96" s="167"/>
      <c r="H96" s="168"/>
      <c r="I96" s="169"/>
      <c r="J96" s="194"/>
    </row>
    <row r="97" spans="1:10">
      <c r="A97" s="190"/>
      <c r="B97" s="255"/>
      <c r="C97" s="255"/>
      <c r="D97" s="256"/>
      <c r="E97" s="256"/>
      <c r="F97" s="166"/>
      <c r="G97" s="167"/>
      <c r="H97" s="150"/>
      <c r="I97" s="163"/>
      <c r="J97" s="198"/>
    </row>
    <row r="98" spans="1:10">
      <c r="A98" s="190"/>
      <c r="B98" s="255"/>
      <c r="C98" s="255"/>
      <c r="D98" s="256"/>
      <c r="E98" s="256"/>
      <c r="F98" s="166"/>
      <c r="G98" s="167"/>
      <c r="H98" s="150"/>
      <c r="I98" s="163"/>
      <c r="J98" s="198"/>
    </row>
    <row r="99" spans="1:10">
      <c r="A99" s="190"/>
      <c r="B99" s="255"/>
      <c r="C99" s="255"/>
      <c r="D99" s="256"/>
      <c r="E99" s="256"/>
      <c r="F99" s="166"/>
      <c r="G99" s="167"/>
      <c r="H99" s="150"/>
      <c r="I99" s="163"/>
      <c r="J99" s="198"/>
    </row>
    <row r="100" spans="1:10">
      <c r="A100" s="190"/>
      <c r="B100" s="255"/>
      <c r="C100" s="255"/>
      <c r="D100" s="256"/>
      <c r="E100" s="256"/>
      <c r="F100" s="166"/>
      <c r="G100" s="167"/>
      <c r="H100" s="150"/>
      <c r="I100" s="163"/>
      <c r="J100" s="198"/>
    </row>
    <row r="101" spans="1:10">
      <c r="A101" s="190"/>
      <c r="B101" s="255"/>
      <c r="C101" s="255"/>
      <c r="D101" s="256"/>
      <c r="E101" s="256"/>
      <c r="F101" s="166"/>
      <c r="G101" s="167"/>
      <c r="H101" s="150"/>
      <c r="I101" s="163"/>
      <c r="J101" s="198"/>
    </row>
    <row r="102" spans="1:10">
      <c r="A102" s="190"/>
      <c r="B102" s="255"/>
      <c r="C102" s="255"/>
      <c r="D102" s="256"/>
      <c r="E102" s="256"/>
      <c r="F102" s="166"/>
      <c r="G102" s="167"/>
      <c r="H102" s="150"/>
      <c r="I102" s="163"/>
      <c r="J102" s="198"/>
    </row>
    <row r="103" spans="1:10">
      <c r="A103" s="190"/>
      <c r="B103" s="255"/>
      <c r="C103" s="255"/>
      <c r="D103" s="256"/>
      <c r="E103" s="256"/>
      <c r="F103" s="166"/>
      <c r="G103" s="167"/>
      <c r="H103" s="150"/>
      <c r="I103" s="163"/>
      <c r="J103" s="198"/>
    </row>
    <row r="104" spans="1:10">
      <c r="A104" s="172"/>
      <c r="B104" s="258"/>
      <c r="C104" s="258"/>
      <c r="D104" s="257"/>
      <c r="E104" s="257"/>
      <c r="F104" s="170"/>
      <c r="G104" s="171"/>
      <c r="H104" s="150"/>
      <c r="I104" s="163"/>
      <c r="J104" s="198"/>
    </row>
    <row r="105" spans="1:10">
      <c r="B105" s="242"/>
      <c r="C105" s="242"/>
      <c r="D105" s="242"/>
      <c r="E105" s="242"/>
      <c r="F105" s="206"/>
      <c r="G105" s="242"/>
      <c r="H105" s="260"/>
      <c r="I105" s="261"/>
      <c r="J105" s="262"/>
    </row>
    <row r="106" spans="1:10">
      <c r="B106" s="242"/>
      <c r="C106" s="242"/>
      <c r="D106" s="242"/>
      <c r="E106" s="242"/>
      <c r="F106" s="206"/>
      <c r="G106" s="242"/>
      <c r="H106" s="260"/>
      <c r="I106" s="261"/>
      <c r="J106" s="262"/>
    </row>
    <row r="107" spans="1:10">
      <c r="B107" s="242"/>
      <c r="C107" s="242"/>
      <c r="D107" s="242"/>
      <c r="E107" s="242"/>
      <c r="F107" s="206"/>
      <c r="G107" s="242"/>
      <c r="H107" s="260"/>
      <c r="I107" s="261"/>
      <c r="J107" s="262"/>
    </row>
    <row r="108" spans="1:10">
      <c r="B108" s="242"/>
      <c r="C108" s="242"/>
      <c r="D108" s="242"/>
      <c r="E108" s="242"/>
      <c r="F108" s="206"/>
      <c r="G108" s="242"/>
      <c r="H108" s="260"/>
      <c r="I108" s="261"/>
      <c r="J108" s="262"/>
    </row>
    <row r="109" spans="1:10">
      <c r="B109" s="242"/>
      <c r="C109" s="242"/>
      <c r="D109" s="242"/>
      <c r="E109" s="242"/>
      <c r="F109" s="206"/>
      <c r="G109" s="242"/>
      <c r="H109" s="260"/>
      <c r="I109" s="261"/>
      <c r="J109" s="262"/>
    </row>
    <row r="110" spans="1:10">
      <c r="B110" s="242"/>
      <c r="C110" s="242"/>
      <c r="D110" s="242"/>
      <c r="E110" s="242"/>
      <c r="F110" s="206"/>
      <c r="G110" s="242"/>
      <c r="H110" s="260"/>
      <c r="I110" s="261"/>
      <c r="J110" s="262"/>
    </row>
    <row r="111" spans="1:10">
      <c r="B111" s="242"/>
      <c r="C111" s="242"/>
      <c r="D111" s="242"/>
      <c r="E111" s="242"/>
      <c r="F111" s="206"/>
      <c r="G111" s="242"/>
      <c r="H111" s="260"/>
      <c r="I111" s="261"/>
      <c r="J111" s="262"/>
    </row>
    <row r="112" spans="1:10">
      <c r="B112" s="242"/>
      <c r="C112" s="242"/>
      <c r="D112" s="242"/>
      <c r="E112" s="242"/>
      <c r="F112" s="206"/>
      <c r="G112" s="242"/>
      <c r="H112" s="260"/>
      <c r="I112" s="261"/>
      <c r="J112" s="262"/>
    </row>
    <row r="113" spans="2:10">
      <c r="B113" s="242"/>
      <c r="C113" s="242"/>
      <c r="D113" s="242"/>
      <c r="E113" s="242"/>
      <c r="F113" s="206"/>
      <c r="G113" s="242"/>
      <c r="H113" s="260"/>
      <c r="I113" s="261"/>
      <c r="J113" s="262"/>
    </row>
    <row r="114" spans="2:10">
      <c r="B114" s="242"/>
      <c r="C114" s="242"/>
      <c r="D114" s="242"/>
      <c r="E114" s="242"/>
      <c r="F114" s="206"/>
      <c r="G114" s="242"/>
      <c r="H114" s="260"/>
      <c r="I114" s="261"/>
      <c r="J114" s="262"/>
    </row>
    <row r="115" spans="2:10">
      <c r="B115" s="242"/>
      <c r="C115" s="242"/>
      <c r="D115" s="242"/>
      <c r="E115" s="242"/>
      <c r="F115" s="206"/>
      <c r="G115" s="242"/>
      <c r="H115" s="260"/>
      <c r="I115" s="261"/>
      <c r="J115" s="262"/>
    </row>
    <row r="116" spans="2:10">
      <c r="B116" s="242"/>
      <c r="C116" s="242"/>
      <c r="D116" s="242"/>
      <c r="E116" s="242"/>
      <c r="F116" s="206"/>
      <c r="G116" s="242"/>
      <c r="H116" s="260"/>
      <c r="I116" s="261"/>
      <c r="J116" s="262"/>
    </row>
    <row r="117" spans="2:10">
      <c r="B117" s="242"/>
      <c r="C117" s="242"/>
      <c r="D117" s="242"/>
      <c r="E117" s="242"/>
      <c r="F117" s="206"/>
      <c r="G117" s="242"/>
      <c r="H117" s="260"/>
      <c r="I117" s="261"/>
      <c r="J117" s="262"/>
    </row>
    <row r="118" spans="2:10">
      <c r="B118" s="242"/>
      <c r="C118" s="242"/>
      <c r="D118" s="242"/>
      <c r="E118" s="242"/>
      <c r="F118" s="206"/>
      <c r="G118" s="242"/>
      <c r="H118" s="260"/>
      <c r="I118" s="261"/>
      <c r="J118" s="262"/>
    </row>
    <row r="119" spans="2:10">
      <c r="B119" s="242"/>
      <c r="C119" s="242"/>
      <c r="D119" s="242"/>
      <c r="E119" s="242"/>
      <c r="F119" s="206"/>
      <c r="G119" s="242"/>
      <c r="H119" s="260"/>
      <c r="I119" s="261"/>
      <c r="J119" s="262"/>
    </row>
    <row r="120" spans="2:10">
      <c r="B120" s="242"/>
      <c r="C120" s="242"/>
      <c r="D120" s="242"/>
      <c r="E120" s="242"/>
      <c r="F120" s="206"/>
      <c r="G120" s="242"/>
      <c r="H120" s="260"/>
      <c r="I120" s="261"/>
      <c r="J120" s="262"/>
    </row>
    <row r="121" spans="2:10">
      <c r="B121" s="242"/>
      <c r="C121" s="242"/>
      <c r="D121" s="242"/>
      <c r="E121" s="242"/>
      <c r="F121" s="206"/>
      <c r="G121" s="242"/>
      <c r="H121" s="260"/>
      <c r="I121" s="261"/>
      <c r="J121" s="262"/>
    </row>
    <row r="122" spans="2:10">
      <c r="B122" s="242"/>
      <c r="C122" s="242"/>
      <c r="D122" s="242"/>
      <c r="E122" s="242"/>
      <c r="F122" s="206"/>
      <c r="G122" s="242"/>
      <c r="H122" s="260"/>
      <c r="I122" s="261"/>
      <c r="J122" s="262"/>
    </row>
    <row r="123" spans="2:10">
      <c r="B123" s="242"/>
      <c r="C123" s="242"/>
      <c r="D123" s="242"/>
      <c r="E123" s="242"/>
      <c r="F123" s="206"/>
      <c r="G123" s="242"/>
      <c r="H123" s="260"/>
      <c r="I123" s="261"/>
      <c r="J123" s="262"/>
    </row>
    <row r="124" spans="2:10">
      <c r="B124" s="242"/>
      <c r="C124" s="242"/>
      <c r="D124" s="242"/>
      <c r="E124" s="242"/>
      <c r="F124" s="206"/>
      <c r="G124" s="242"/>
      <c r="H124" s="260"/>
      <c r="I124" s="261"/>
      <c r="J124" s="262"/>
    </row>
    <row r="125" spans="2:10">
      <c r="B125" s="242"/>
      <c r="C125" s="242"/>
      <c r="D125" s="242"/>
      <c r="E125" s="242"/>
      <c r="F125" s="206"/>
      <c r="G125" s="242"/>
      <c r="H125" s="260"/>
      <c r="I125" s="261"/>
      <c r="J125" s="262"/>
    </row>
    <row r="126" spans="2:10">
      <c r="B126" s="242"/>
      <c r="C126" s="242"/>
      <c r="D126" s="242"/>
      <c r="E126" s="242"/>
      <c r="F126" s="206"/>
      <c r="G126" s="242"/>
      <c r="H126" s="260"/>
      <c r="I126" s="261"/>
      <c r="J126" s="262"/>
    </row>
    <row r="127" spans="2:10">
      <c r="B127" s="242"/>
      <c r="C127" s="242"/>
      <c r="D127" s="242"/>
      <c r="E127" s="242"/>
      <c r="F127" s="206"/>
      <c r="G127" s="242"/>
      <c r="H127" s="260"/>
      <c r="I127" s="261"/>
      <c r="J127" s="262"/>
    </row>
    <row r="128" spans="2:10">
      <c r="B128" s="242"/>
      <c r="C128" s="242"/>
      <c r="D128" s="242"/>
      <c r="E128" s="242"/>
      <c r="F128" s="206"/>
      <c r="G128" s="242"/>
      <c r="H128" s="260"/>
      <c r="I128" s="261"/>
      <c r="J128" s="262"/>
    </row>
    <row r="129" spans="2:10">
      <c r="B129" s="242"/>
      <c r="C129" s="242"/>
      <c r="D129" s="242"/>
      <c r="E129" s="242"/>
      <c r="F129" s="206"/>
      <c r="G129" s="242"/>
      <c r="H129" s="260"/>
      <c r="I129" s="261"/>
      <c r="J129" s="262"/>
    </row>
    <row r="130" spans="2:10">
      <c r="B130" s="242"/>
      <c r="C130" s="242"/>
      <c r="D130" s="242"/>
      <c r="E130" s="242"/>
      <c r="F130" s="206"/>
      <c r="G130" s="242"/>
      <c r="H130" s="260"/>
      <c r="I130" s="261"/>
      <c r="J130" s="262"/>
    </row>
    <row r="131" spans="2:10">
      <c r="B131" s="242"/>
      <c r="C131" s="242"/>
      <c r="D131" s="242"/>
      <c r="E131" s="242"/>
      <c r="F131" s="206"/>
      <c r="G131" s="242"/>
      <c r="H131" s="260"/>
      <c r="I131" s="261"/>
      <c r="J131" s="262"/>
    </row>
    <row r="132" spans="2:10">
      <c r="B132" s="242"/>
      <c r="C132" s="242"/>
      <c r="D132" s="242"/>
      <c r="E132" s="242"/>
      <c r="F132" s="206"/>
      <c r="G132" s="242"/>
      <c r="H132" s="260"/>
      <c r="I132" s="261"/>
      <c r="J132" s="262"/>
    </row>
    <row r="133" spans="2:10">
      <c r="B133" s="242"/>
      <c r="C133" s="242"/>
      <c r="D133" s="242"/>
      <c r="E133" s="242"/>
      <c r="F133" s="206"/>
      <c r="G133" s="242"/>
      <c r="H133" s="260"/>
      <c r="I133" s="261"/>
      <c r="J133" s="262"/>
    </row>
    <row r="134" spans="2:10">
      <c r="B134" s="242"/>
      <c r="C134" s="242"/>
      <c r="D134" s="242"/>
      <c r="E134" s="242"/>
      <c r="F134" s="206"/>
      <c r="G134" s="242"/>
      <c r="H134" s="260"/>
      <c r="I134" s="261"/>
      <c r="J134" s="262"/>
    </row>
    <row r="135" spans="2:10">
      <c r="B135" s="242"/>
      <c r="C135" s="242"/>
      <c r="D135" s="242"/>
      <c r="E135" s="242"/>
      <c r="F135" s="206"/>
      <c r="G135" s="242"/>
      <c r="H135" s="260"/>
      <c r="I135" s="261"/>
      <c r="J135" s="262"/>
    </row>
    <row r="136" spans="2:10">
      <c r="B136" s="242"/>
      <c r="C136" s="242"/>
      <c r="D136" s="242"/>
      <c r="E136" s="242"/>
      <c r="F136" s="206"/>
      <c r="G136" s="242"/>
      <c r="H136" s="260"/>
      <c r="I136" s="261"/>
      <c r="J136" s="262"/>
    </row>
    <row r="137" spans="2:10">
      <c r="B137" s="242"/>
      <c r="C137" s="242"/>
      <c r="D137" s="242"/>
      <c r="E137" s="242"/>
      <c r="F137" s="206"/>
      <c r="G137" s="242"/>
      <c r="H137" s="260"/>
      <c r="I137" s="261"/>
      <c r="J137" s="262"/>
    </row>
    <row r="138" spans="2:10">
      <c r="B138" s="242"/>
      <c r="C138" s="242"/>
      <c r="D138" s="242"/>
      <c r="E138" s="242"/>
      <c r="F138" s="206"/>
      <c r="G138" s="242"/>
      <c r="H138" s="260"/>
      <c r="I138" s="261"/>
      <c r="J138" s="262"/>
    </row>
    <row r="139" spans="2:10">
      <c r="B139" s="242"/>
      <c r="C139" s="242"/>
      <c r="D139" s="242"/>
      <c r="E139" s="242"/>
      <c r="F139" s="206"/>
      <c r="G139" s="242"/>
      <c r="H139" s="260"/>
      <c r="I139" s="261"/>
      <c r="J139" s="262"/>
    </row>
    <row r="140" spans="2:10">
      <c r="B140" s="242"/>
      <c r="C140" s="242"/>
      <c r="D140" s="242"/>
      <c r="E140" s="242"/>
      <c r="F140" s="206"/>
      <c r="G140" s="242"/>
      <c r="H140" s="260"/>
      <c r="I140" s="261"/>
      <c r="J140" s="262"/>
    </row>
    <row r="141" spans="2:10">
      <c r="B141" s="242"/>
      <c r="C141" s="242"/>
      <c r="D141" s="242"/>
      <c r="E141" s="242"/>
      <c r="F141" s="206"/>
      <c r="G141" s="242"/>
      <c r="H141" s="260"/>
      <c r="I141" s="261"/>
      <c r="J141" s="262"/>
    </row>
    <row r="142" spans="2:10">
      <c r="B142" s="242"/>
      <c r="C142" s="242"/>
      <c r="D142" s="242"/>
      <c r="E142" s="242"/>
      <c r="F142" s="206"/>
      <c r="G142" s="242"/>
      <c r="H142" s="260"/>
      <c r="I142" s="261"/>
      <c r="J142" s="262"/>
    </row>
    <row r="143" spans="2:10">
      <c r="B143" s="242"/>
      <c r="C143" s="242"/>
      <c r="D143" s="242"/>
      <c r="E143" s="242"/>
      <c r="F143" s="206"/>
      <c r="G143" s="242"/>
      <c r="H143" s="260"/>
      <c r="I143" s="261"/>
      <c r="J143" s="262"/>
    </row>
    <row r="144" spans="2:10">
      <c r="D144" s="242"/>
      <c r="E144" s="242"/>
      <c r="F144" s="206"/>
      <c r="G144" s="242"/>
      <c r="H144" s="260"/>
      <c r="I144" s="261"/>
      <c r="J144" s="262"/>
    </row>
    <row r="145" spans="4:10">
      <c r="D145" s="242"/>
      <c r="E145" s="242"/>
      <c r="F145" s="206"/>
      <c r="G145" s="242"/>
      <c r="H145" s="260"/>
      <c r="I145" s="261"/>
      <c r="J145" s="262"/>
    </row>
    <row r="146" spans="4:10">
      <c r="D146" s="242"/>
      <c r="E146" s="242"/>
      <c r="F146" s="206"/>
      <c r="G146" s="242"/>
      <c r="H146" s="260"/>
      <c r="I146" s="261"/>
      <c r="J146" s="262"/>
    </row>
    <row r="147" spans="4:10">
      <c r="D147" s="242"/>
      <c r="E147" s="242"/>
      <c r="F147" s="206"/>
      <c r="G147" s="242"/>
      <c r="H147" s="260"/>
      <c r="I147" s="261"/>
      <c r="J147" s="262"/>
    </row>
    <row r="148" spans="4:10">
      <c r="D148" s="242"/>
      <c r="E148" s="242"/>
      <c r="F148" s="206"/>
      <c r="G148" s="242"/>
      <c r="H148" s="260"/>
      <c r="I148" s="261"/>
      <c r="J148" s="262"/>
    </row>
    <row r="149" spans="4:10">
      <c r="D149" s="242"/>
      <c r="E149" s="242"/>
      <c r="F149" s="206"/>
      <c r="G149" s="242"/>
      <c r="H149" s="260"/>
      <c r="I149" s="261"/>
      <c r="J149" s="262"/>
    </row>
    <row r="150" spans="4:10">
      <c r="D150" s="242"/>
      <c r="E150" s="242"/>
      <c r="F150" s="206"/>
      <c r="G150" s="242"/>
      <c r="H150" s="260"/>
      <c r="I150" s="261"/>
      <c r="J150" s="262"/>
    </row>
    <row r="151" spans="4:10">
      <c r="D151" s="242"/>
      <c r="E151" s="242"/>
      <c r="F151" s="206"/>
      <c r="G151" s="242"/>
      <c r="H151" s="260"/>
      <c r="I151" s="261"/>
      <c r="J151" s="262"/>
    </row>
    <row r="152" spans="4:10">
      <c r="D152" s="242"/>
      <c r="E152" s="242"/>
      <c r="F152" s="206"/>
      <c r="G152" s="242"/>
      <c r="H152" s="260"/>
      <c r="I152" s="261"/>
      <c r="J152" s="262"/>
    </row>
    <row r="153" spans="4:10">
      <c r="D153" s="242"/>
      <c r="E153" s="242"/>
      <c r="F153" s="206"/>
      <c r="G153" s="242"/>
      <c r="H153" s="260"/>
      <c r="I153" s="261"/>
      <c r="J153" s="262"/>
    </row>
    <row r="154" spans="4:10">
      <c r="D154" s="242"/>
      <c r="E154" s="242"/>
      <c r="F154" s="206"/>
      <c r="G154" s="242"/>
      <c r="H154" s="260"/>
      <c r="I154" s="261"/>
      <c r="J154" s="262"/>
    </row>
    <row r="155" spans="4:10">
      <c r="D155" s="242"/>
      <c r="E155" s="242"/>
      <c r="F155" s="206"/>
      <c r="G155" s="242"/>
      <c r="H155" s="260"/>
      <c r="I155" s="261"/>
      <c r="J155" s="262"/>
    </row>
    <row r="156" spans="4:10">
      <c r="D156" s="242"/>
      <c r="E156" s="242"/>
      <c r="F156" s="206"/>
      <c r="G156" s="242"/>
      <c r="H156" s="260"/>
      <c r="I156" s="261"/>
      <c r="J156" s="262"/>
    </row>
    <row r="157" spans="4:10">
      <c r="D157" s="242"/>
      <c r="E157" s="242"/>
      <c r="F157" s="206"/>
      <c r="G157" s="242"/>
      <c r="H157" s="260"/>
      <c r="I157" s="261"/>
      <c r="J157" s="262"/>
    </row>
    <row r="158" spans="4:10">
      <c r="D158" s="242"/>
      <c r="E158" s="242"/>
      <c r="F158" s="206"/>
      <c r="G158" s="242"/>
      <c r="H158" s="260"/>
      <c r="I158" s="261"/>
      <c r="J158" s="262"/>
    </row>
    <row r="159" spans="4:10">
      <c r="D159" s="242"/>
      <c r="E159" s="242"/>
      <c r="F159" s="206"/>
      <c r="G159" s="242"/>
      <c r="H159" s="260"/>
      <c r="I159" s="261"/>
      <c r="J159" s="262"/>
    </row>
    <row r="160" spans="4:10">
      <c r="D160" s="242"/>
      <c r="E160" s="242"/>
      <c r="F160" s="206"/>
      <c r="G160" s="242"/>
      <c r="H160" s="260"/>
      <c r="I160" s="261"/>
      <c r="J160" s="262"/>
    </row>
    <row r="161" spans="4:10">
      <c r="D161" s="242"/>
      <c r="E161" s="242"/>
      <c r="F161" s="206"/>
      <c r="G161" s="242"/>
      <c r="H161" s="260"/>
      <c r="I161" s="261"/>
      <c r="J161" s="262"/>
    </row>
    <row r="162" spans="4:10">
      <c r="D162" s="242"/>
      <c r="E162" s="242"/>
      <c r="F162" s="206"/>
      <c r="G162" s="242"/>
      <c r="H162" s="260"/>
      <c r="I162" s="261"/>
      <c r="J162" s="262"/>
    </row>
    <row r="163" spans="4:10">
      <c r="D163" s="242"/>
      <c r="E163" s="242"/>
      <c r="F163" s="206"/>
      <c r="G163" s="242"/>
      <c r="H163" s="260"/>
      <c r="I163" s="261"/>
      <c r="J163" s="262"/>
    </row>
    <row r="164" spans="4:10">
      <c r="D164" s="242"/>
      <c r="E164" s="242"/>
      <c r="F164" s="206"/>
      <c r="G164" s="242"/>
      <c r="H164" s="260"/>
      <c r="I164" s="261"/>
      <c r="J164" s="262"/>
    </row>
    <row r="165" spans="4:10">
      <c r="D165" s="242"/>
      <c r="E165" s="242"/>
      <c r="F165" s="206"/>
      <c r="G165" s="242"/>
      <c r="H165" s="260"/>
      <c r="I165" s="261"/>
      <c r="J165" s="262"/>
    </row>
    <row r="166" spans="4:10">
      <c r="D166" s="242"/>
      <c r="E166" s="242"/>
      <c r="F166" s="206"/>
      <c r="G166" s="242"/>
      <c r="H166" s="260"/>
      <c r="I166" s="261"/>
      <c r="J166" s="262"/>
    </row>
    <row r="167" spans="4:10">
      <c r="D167" s="242"/>
      <c r="E167" s="242"/>
      <c r="F167" s="206"/>
      <c r="G167" s="242"/>
      <c r="H167" s="260"/>
      <c r="I167" s="261"/>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62"/>
    </row>
    <row r="184" spans="4:10">
      <c r="D184" s="242"/>
      <c r="E184" s="242"/>
      <c r="F184" s="206"/>
      <c r="G184" s="242"/>
      <c r="H184" s="260"/>
      <c r="I184" s="266"/>
      <c r="J184" s="262"/>
    </row>
    <row r="185" spans="4:10">
      <c r="D185" s="242"/>
      <c r="E185" s="242"/>
      <c r="F185" s="206"/>
      <c r="G185" s="242"/>
      <c r="H185" s="260"/>
      <c r="I185" s="266"/>
      <c r="J185" s="262"/>
    </row>
    <row r="186" spans="4:10">
      <c r="D186" s="242"/>
      <c r="E186" s="242"/>
      <c r="F186" s="206"/>
      <c r="G186" s="242"/>
      <c r="H186" s="260"/>
      <c r="I186" s="266"/>
      <c r="J186" s="262"/>
    </row>
    <row r="187" spans="4:10">
      <c r="D187" s="242"/>
      <c r="E187" s="242"/>
      <c r="F187" s="206"/>
      <c r="G187" s="242"/>
      <c r="H187" s="260"/>
      <c r="I187" s="266"/>
      <c r="J187" s="262"/>
    </row>
    <row r="188" spans="4:10">
      <c r="D188" s="242"/>
      <c r="E188" s="242"/>
      <c r="F188" s="206"/>
      <c r="G188" s="242"/>
      <c r="H188" s="260"/>
      <c r="I188" s="266"/>
      <c r="J188" s="262"/>
    </row>
    <row r="189" spans="4:10">
      <c r="D189" s="242"/>
      <c r="E189" s="242"/>
      <c r="F189" s="206"/>
      <c r="G189" s="242"/>
      <c r="H189" s="260"/>
      <c r="I189" s="266"/>
      <c r="J189" s="262"/>
    </row>
    <row r="190" spans="4:10">
      <c r="D190" s="242"/>
      <c r="E190" s="242"/>
      <c r="F190" s="206"/>
      <c r="G190" s="242"/>
      <c r="H190" s="260"/>
      <c r="I190" s="266"/>
      <c r="J190" s="262"/>
    </row>
    <row r="191" spans="4:10">
      <c r="D191" s="242"/>
      <c r="E191" s="242"/>
      <c r="F191" s="206"/>
      <c r="G191" s="242"/>
      <c r="H191" s="260"/>
      <c r="I191" s="266"/>
      <c r="J191" s="262"/>
    </row>
    <row r="192" spans="4:10">
      <c r="D192" s="242"/>
      <c r="E192" s="242"/>
      <c r="F192" s="206"/>
      <c r="G192" s="242"/>
      <c r="H192" s="260"/>
      <c r="I192" s="266"/>
      <c r="J192" s="262"/>
    </row>
    <row r="193" spans="4:10">
      <c r="D193" s="242"/>
      <c r="E193" s="242"/>
      <c r="F193" s="206"/>
      <c r="G193" s="242"/>
      <c r="H193" s="260"/>
      <c r="I193" s="266"/>
      <c r="J193" s="262"/>
    </row>
    <row r="194" spans="4:10">
      <c r="D194" s="242"/>
      <c r="E194" s="242"/>
      <c r="F194" s="206"/>
      <c r="G194" s="242"/>
      <c r="H194" s="260"/>
      <c r="I194" s="266"/>
      <c r="J194" s="262"/>
    </row>
    <row r="195" spans="4:10">
      <c r="D195" s="242"/>
      <c r="E195" s="242"/>
      <c r="F195" s="206"/>
      <c r="G195" s="242"/>
      <c r="H195" s="260"/>
      <c r="I195" s="266"/>
      <c r="J195" s="262"/>
    </row>
    <row r="196" spans="4:10">
      <c r="D196" s="242"/>
      <c r="E196" s="242"/>
      <c r="F196" s="206"/>
      <c r="G196" s="242"/>
      <c r="H196" s="260"/>
      <c r="I196" s="266"/>
      <c r="J196" s="262"/>
    </row>
    <row r="197" spans="4:10">
      <c r="D197" s="242"/>
      <c r="E197" s="242"/>
      <c r="F197" s="206"/>
      <c r="G197" s="242"/>
      <c r="H197" s="260"/>
      <c r="I197" s="266"/>
      <c r="J197" s="262"/>
    </row>
    <row r="198" spans="4:10">
      <c r="D198" s="242"/>
      <c r="E198" s="242"/>
      <c r="F198" s="206"/>
      <c r="G198" s="242"/>
      <c r="H198" s="260"/>
      <c r="I198" s="266"/>
      <c r="J198" s="262"/>
    </row>
    <row r="199" spans="4:10">
      <c r="D199" s="242"/>
      <c r="E199" s="242"/>
      <c r="F199" s="206"/>
      <c r="G199" s="242"/>
      <c r="H199" s="260"/>
      <c r="I199" s="266"/>
      <c r="J199" s="262"/>
    </row>
    <row r="200" spans="4:10">
      <c r="D200" s="242"/>
      <c r="E200" s="242"/>
      <c r="F200" s="206"/>
      <c r="G200" s="242"/>
      <c r="H200" s="260"/>
      <c r="I200" s="266"/>
      <c r="J200" s="262"/>
    </row>
    <row r="201" spans="4:10">
      <c r="D201" s="242"/>
      <c r="E201" s="242"/>
      <c r="F201" s="206"/>
      <c r="G201" s="242"/>
      <c r="H201" s="260"/>
      <c r="I201" s="266"/>
      <c r="J201" s="262"/>
    </row>
    <row r="202" spans="4:10">
      <c r="D202" s="242"/>
      <c r="E202" s="242"/>
      <c r="F202" s="206"/>
      <c r="G202" s="242"/>
      <c r="H202" s="260"/>
      <c r="I202" s="266"/>
      <c r="J202" s="262"/>
    </row>
    <row r="203" spans="4:10">
      <c r="D203" s="242"/>
      <c r="E203" s="242"/>
      <c r="F203" s="206"/>
      <c r="G203" s="242"/>
      <c r="H203" s="260"/>
      <c r="I203" s="266"/>
      <c r="J203" s="262"/>
    </row>
    <row r="204" spans="4:10">
      <c r="D204" s="242"/>
      <c r="E204" s="242"/>
      <c r="F204" s="206"/>
      <c r="G204" s="242"/>
      <c r="H204" s="260"/>
      <c r="I204" s="266"/>
      <c r="J204" s="262"/>
    </row>
    <row r="205" spans="4:10">
      <c r="D205" s="242"/>
      <c r="E205" s="242"/>
      <c r="F205" s="206"/>
      <c r="G205" s="242"/>
      <c r="H205" s="260"/>
      <c r="I205" s="266"/>
      <c r="J205" s="262"/>
    </row>
    <row r="206" spans="4:10">
      <c r="D206" s="242"/>
      <c r="E206" s="242"/>
      <c r="F206" s="206"/>
      <c r="G206" s="242"/>
      <c r="H206" s="260"/>
      <c r="I206" s="266"/>
      <c r="J206" s="262"/>
    </row>
    <row r="207" spans="4:10">
      <c r="D207" s="242"/>
      <c r="E207" s="242"/>
      <c r="F207" s="206"/>
      <c r="G207" s="242"/>
      <c r="H207" s="260"/>
      <c r="I207" s="266"/>
      <c r="J207" s="262"/>
    </row>
    <row r="208" spans="4:10">
      <c r="D208" s="242"/>
      <c r="E208" s="242"/>
      <c r="F208" s="206"/>
      <c r="G208" s="242"/>
      <c r="H208" s="260"/>
      <c r="I208" s="266"/>
      <c r="J208" s="262"/>
    </row>
    <row r="209" spans="4:10">
      <c r="D209" s="242"/>
      <c r="E209" s="242"/>
      <c r="F209" s="206"/>
      <c r="G209" s="242"/>
      <c r="H209" s="260"/>
      <c r="I209" s="266"/>
      <c r="J209" s="262"/>
    </row>
    <row r="210" spans="4:10">
      <c r="D210" s="242"/>
      <c r="E210" s="242"/>
      <c r="F210" s="206"/>
      <c r="G210" s="242"/>
      <c r="H210" s="260"/>
      <c r="I210" s="266"/>
      <c r="J210" s="262"/>
    </row>
    <row r="211" spans="4:10">
      <c r="D211" s="242"/>
      <c r="E211" s="242"/>
      <c r="F211" s="206"/>
      <c r="G211" s="242"/>
      <c r="H211" s="260"/>
      <c r="I211" s="266"/>
      <c r="J211" s="262"/>
    </row>
    <row r="212" spans="4:10">
      <c r="D212" s="242"/>
      <c r="E212" s="242"/>
      <c r="F212" s="206"/>
      <c r="G212" s="242"/>
      <c r="H212" s="260"/>
      <c r="I212" s="266"/>
      <c r="J212" s="262"/>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60"/>
      <c r="I253" s="266"/>
      <c r="J253" s="206"/>
    </row>
    <row r="254" spans="4:10">
      <c r="D254" s="242"/>
      <c r="E254" s="242"/>
      <c r="F254" s="206"/>
      <c r="G254" s="242"/>
      <c r="H254" s="260"/>
      <c r="I254" s="266"/>
      <c r="J254" s="206"/>
    </row>
    <row r="255" spans="4:10">
      <c r="D255" s="242"/>
      <c r="E255" s="242"/>
      <c r="F255" s="206"/>
      <c r="G255" s="242"/>
      <c r="H255" s="260"/>
      <c r="I255" s="266"/>
      <c r="J255" s="206"/>
    </row>
    <row r="256" spans="4:10">
      <c r="D256" s="242"/>
      <c r="E256" s="242"/>
      <c r="F256" s="206"/>
      <c r="G256" s="242"/>
      <c r="H256" s="260"/>
      <c r="I256" s="266"/>
      <c r="J256" s="206"/>
    </row>
    <row r="257" spans="4:10">
      <c r="D257" s="242"/>
      <c r="E257" s="242"/>
      <c r="F257" s="206"/>
      <c r="G257" s="242"/>
      <c r="H257" s="260"/>
      <c r="I257" s="266"/>
      <c r="J257" s="206"/>
    </row>
    <row r="258" spans="4:10">
      <c r="D258" s="242"/>
      <c r="E258" s="242"/>
      <c r="F258" s="206"/>
      <c r="G258" s="242"/>
      <c r="H258" s="260"/>
      <c r="I258" s="266"/>
      <c r="J258" s="206"/>
    </row>
    <row r="259" spans="4:10">
      <c r="D259" s="242"/>
      <c r="E259" s="242"/>
      <c r="F259" s="206"/>
      <c r="G259" s="242"/>
      <c r="H259" s="260"/>
      <c r="I259" s="266"/>
      <c r="J259" s="206"/>
    </row>
    <row r="260" spans="4:10">
      <c r="D260" s="242"/>
      <c r="E260" s="242"/>
      <c r="F260" s="206"/>
      <c r="G260" s="242"/>
      <c r="H260" s="260"/>
      <c r="I260" s="266"/>
      <c r="J260" s="206"/>
    </row>
    <row r="261" spans="4:10">
      <c r="D261" s="242"/>
      <c r="E261" s="242"/>
      <c r="F261" s="206"/>
      <c r="G261" s="242"/>
      <c r="H261" s="260"/>
      <c r="I261" s="266"/>
      <c r="J261" s="206"/>
    </row>
    <row r="262" spans="4:10">
      <c r="D262" s="242"/>
      <c r="E262" s="242"/>
      <c r="F262" s="206"/>
      <c r="G262" s="242"/>
      <c r="H262" s="260"/>
      <c r="I262" s="266"/>
      <c r="J262" s="206"/>
    </row>
    <row r="263" spans="4:10">
      <c r="D263" s="242"/>
      <c r="E263" s="242"/>
      <c r="F263" s="206"/>
      <c r="G263" s="242"/>
      <c r="H263" s="260"/>
      <c r="I263" s="266"/>
      <c r="J263" s="206"/>
    </row>
    <row r="264" spans="4:10">
      <c r="D264" s="242"/>
      <c r="E264" s="242"/>
      <c r="F264" s="206"/>
      <c r="G264" s="242"/>
      <c r="H264" s="260"/>
      <c r="I264" s="266"/>
      <c r="J264" s="206"/>
    </row>
    <row r="265" spans="4:10">
      <c r="D265" s="242"/>
      <c r="E265" s="242"/>
      <c r="F265" s="206"/>
      <c r="G265" s="242"/>
      <c r="H265" s="260"/>
      <c r="I265" s="266"/>
      <c r="J265" s="206"/>
    </row>
    <row r="266" spans="4:10">
      <c r="D266" s="242"/>
      <c r="E266" s="242"/>
      <c r="F266" s="206"/>
      <c r="G266" s="242"/>
      <c r="H266" s="260"/>
      <c r="I266" s="266"/>
      <c r="J266" s="206"/>
    </row>
    <row r="267" spans="4:10">
      <c r="D267" s="242"/>
      <c r="E267" s="242"/>
      <c r="F267" s="206"/>
      <c r="G267" s="242"/>
      <c r="H267" s="260"/>
      <c r="I267" s="266"/>
      <c r="J267" s="206"/>
    </row>
    <row r="268" spans="4:10">
      <c r="D268" s="242"/>
      <c r="E268" s="242"/>
      <c r="F268" s="206"/>
      <c r="G268" s="242"/>
      <c r="H268" s="260"/>
      <c r="I268" s="266"/>
      <c r="J268" s="206"/>
    </row>
    <row r="269" spans="4:10">
      <c r="D269" s="242"/>
      <c r="E269" s="242"/>
      <c r="F269" s="206"/>
      <c r="G269" s="242"/>
      <c r="H269" s="260"/>
      <c r="I269" s="266"/>
      <c r="J269" s="206"/>
    </row>
    <row r="270" spans="4:10">
      <c r="D270" s="242"/>
      <c r="E270" s="242"/>
      <c r="F270" s="206"/>
      <c r="G270" s="242"/>
      <c r="H270" s="260"/>
      <c r="I270" s="266"/>
      <c r="J270" s="206"/>
    </row>
    <row r="271" spans="4:10">
      <c r="D271" s="242"/>
      <c r="E271" s="242"/>
      <c r="F271" s="206"/>
      <c r="G271" s="242"/>
      <c r="H271" s="260"/>
      <c r="I271" s="266"/>
      <c r="J271" s="206"/>
    </row>
    <row r="272" spans="4:10">
      <c r="D272" s="242"/>
      <c r="E272" s="242"/>
      <c r="F272" s="206"/>
      <c r="G272" s="242"/>
      <c r="H272" s="260"/>
      <c r="I272" s="266"/>
      <c r="J272" s="206"/>
    </row>
    <row r="273" spans="4:10">
      <c r="D273" s="242"/>
      <c r="E273" s="242"/>
      <c r="F273" s="206"/>
      <c r="G273" s="242"/>
      <c r="H273" s="260"/>
      <c r="I273" s="266"/>
      <c r="J273" s="206"/>
    </row>
    <row r="274" spans="4:10">
      <c r="D274" s="242"/>
      <c r="E274" s="242"/>
      <c r="F274" s="206"/>
      <c r="G274" s="242"/>
      <c r="H274" s="260"/>
      <c r="I274" s="266"/>
      <c r="J274" s="206"/>
    </row>
    <row r="275" spans="4:10">
      <c r="D275" s="242"/>
      <c r="E275" s="242"/>
      <c r="F275" s="206"/>
      <c r="G275" s="242"/>
      <c r="H275" s="260"/>
      <c r="I275" s="266"/>
      <c r="J275" s="206"/>
    </row>
    <row r="276" spans="4:10">
      <c r="D276" s="242"/>
      <c r="E276" s="242"/>
      <c r="F276" s="206"/>
      <c r="G276" s="242"/>
      <c r="H276" s="260"/>
      <c r="I276" s="266"/>
      <c r="J276" s="206"/>
    </row>
    <row r="277" spans="4:10">
      <c r="D277" s="242"/>
      <c r="E277" s="242"/>
      <c r="F277" s="206"/>
      <c r="G277" s="242"/>
      <c r="H277" s="260"/>
      <c r="I277" s="266"/>
      <c r="J277" s="206"/>
    </row>
    <row r="278" spans="4:10">
      <c r="D278" s="242"/>
      <c r="E278" s="242"/>
      <c r="F278" s="206"/>
      <c r="G278" s="242"/>
      <c r="H278" s="260"/>
      <c r="I278" s="266"/>
      <c r="J278" s="206"/>
    </row>
    <row r="279" spans="4:10">
      <c r="D279" s="242"/>
      <c r="E279" s="242"/>
      <c r="F279" s="206"/>
      <c r="G279" s="242"/>
      <c r="H279" s="260"/>
      <c r="I279" s="266"/>
      <c r="J279" s="206"/>
    </row>
    <row r="280" spans="4:10">
      <c r="D280" s="242"/>
      <c r="E280" s="242"/>
      <c r="F280" s="206"/>
      <c r="G280" s="242"/>
      <c r="H280" s="260"/>
      <c r="I280" s="266"/>
      <c r="J280" s="206"/>
    </row>
    <row r="281" spans="4:10">
      <c r="D281" s="242"/>
      <c r="E281" s="242"/>
      <c r="F281" s="206"/>
      <c r="G281" s="242"/>
      <c r="H281" s="260"/>
      <c r="I281" s="266"/>
      <c r="J281" s="206"/>
    </row>
    <row r="282" spans="4:10">
      <c r="D282" s="242"/>
      <c r="E282" s="242"/>
      <c r="F282" s="206"/>
      <c r="G282" s="242"/>
      <c r="H282" s="260"/>
      <c r="I282" s="266"/>
      <c r="J282" s="206"/>
    </row>
    <row r="283" spans="4:10">
      <c r="D283" s="242"/>
      <c r="E283" s="242"/>
      <c r="F283" s="206"/>
      <c r="G283" s="242"/>
      <c r="H283" s="206"/>
      <c r="I283" s="266"/>
      <c r="J283" s="206"/>
    </row>
    <row r="284" spans="4:10">
      <c r="D284" s="242"/>
      <c r="E284" s="242"/>
      <c r="F284" s="206"/>
      <c r="G284" s="242"/>
      <c r="H284" s="206"/>
      <c r="I284" s="266"/>
      <c r="J284" s="206"/>
    </row>
    <row r="285" spans="4:10">
      <c r="D285" s="242"/>
      <c r="E285" s="242"/>
      <c r="F285" s="206"/>
      <c r="G285" s="242"/>
      <c r="H285" s="206"/>
      <c r="I285" s="266"/>
      <c r="J285" s="206"/>
    </row>
    <row r="286" spans="4:10">
      <c r="D286" s="242"/>
      <c r="E286" s="242"/>
      <c r="F286" s="206"/>
      <c r="G286" s="242"/>
      <c r="H286" s="206"/>
      <c r="I286" s="266"/>
      <c r="J286" s="206"/>
    </row>
    <row r="287" spans="4:10">
      <c r="D287" s="242"/>
      <c r="E287" s="242"/>
      <c r="F287" s="206"/>
      <c r="G287" s="242"/>
      <c r="H287" s="206"/>
      <c r="I287" s="266"/>
      <c r="J287" s="206"/>
    </row>
    <row r="288" spans="4:10">
      <c r="D288" s="242"/>
      <c r="E288" s="242"/>
      <c r="F288" s="206"/>
      <c r="G288" s="242"/>
      <c r="H288" s="206"/>
      <c r="I288" s="266"/>
      <c r="J288" s="206"/>
    </row>
    <row r="289" spans="4:10">
      <c r="D289" s="242"/>
      <c r="E289" s="242"/>
      <c r="F289" s="206"/>
      <c r="G289" s="242"/>
      <c r="H289" s="206"/>
      <c r="I289" s="266"/>
      <c r="J289" s="206"/>
    </row>
    <row r="290" spans="4:10">
      <c r="D290" s="242"/>
      <c r="E290" s="242"/>
      <c r="F290" s="206"/>
      <c r="G290" s="242"/>
      <c r="H290" s="206"/>
      <c r="I290" s="266"/>
      <c r="J290" s="206"/>
    </row>
    <row r="291" spans="4:10">
      <c r="D291" s="242"/>
      <c r="E291" s="242"/>
      <c r="F291" s="206"/>
      <c r="G291" s="242"/>
      <c r="H291" s="206"/>
      <c r="I291" s="266"/>
      <c r="J291" s="206"/>
    </row>
    <row r="292" spans="4:10">
      <c r="D292" s="242"/>
      <c r="E292" s="242"/>
      <c r="F292" s="206"/>
      <c r="G292" s="242"/>
      <c r="H292" s="206"/>
      <c r="I292" s="266"/>
      <c r="J292" s="206"/>
    </row>
    <row r="293" spans="4:10">
      <c r="D293" s="242"/>
      <c r="E293" s="242"/>
      <c r="F293" s="206"/>
      <c r="G293" s="242"/>
      <c r="H293" s="206"/>
      <c r="I293" s="266"/>
      <c r="J293" s="206"/>
    </row>
    <row r="294" spans="4:10">
      <c r="D294" s="242"/>
      <c r="E294" s="242"/>
      <c r="F294" s="206"/>
      <c r="G294" s="242"/>
      <c r="H294" s="206"/>
      <c r="I294" s="266"/>
      <c r="J294" s="206"/>
    </row>
    <row r="295" spans="4:10">
      <c r="D295" s="242"/>
      <c r="E295" s="242"/>
      <c r="F295" s="206"/>
      <c r="G295" s="242"/>
      <c r="H295" s="206"/>
      <c r="I295" s="266"/>
      <c r="J295" s="206"/>
    </row>
    <row r="296" spans="4:10">
      <c r="D296" s="242"/>
      <c r="E296" s="242"/>
      <c r="F296" s="206"/>
      <c r="G296" s="242"/>
      <c r="H296" s="206"/>
      <c r="I296" s="266"/>
      <c r="J296" s="206"/>
    </row>
    <row r="297" spans="4:10">
      <c r="D297" s="242"/>
      <c r="E297" s="242"/>
      <c r="F297" s="206"/>
      <c r="G297" s="242"/>
      <c r="H297" s="206"/>
      <c r="I297" s="266"/>
      <c r="J297" s="206"/>
    </row>
    <row r="298" spans="4:10">
      <c r="D298" s="242"/>
      <c r="E298" s="242"/>
      <c r="F298" s="206"/>
      <c r="G298" s="242"/>
      <c r="H298" s="206"/>
      <c r="I298" s="266"/>
      <c r="J298" s="206"/>
    </row>
    <row r="299" spans="4:10">
      <c r="D299" s="242"/>
      <c r="E299" s="242"/>
      <c r="F299" s="206"/>
      <c r="G299" s="242"/>
      <c r="H299" s="206"/>
      <c r="I299" s="266"/>
      <c r="J299" s="206"/>
    </row>
    <row r="300" spans="4:10">
      <c r="D300" s="242"/>
      <c r="E300" s="242"/>
      <c r="F300" s="206"/>
      <c r="G300" s="242"/>
      <c r="H300" s="206"/>
      <c r="I300" s="266"/>
      <c r="J300" s="206"/>
    </row>
    <row r="301" spans="4:10">
      <c r="D301" s="242"/>
      <c r="E301" s="242"/>
      <c r="F301" s="206"/>
      <c r="G301" s="242"/>
      <c r="H301" s="206"/>
      <c r="I301" s="266"/>
      <c r="J301" s="206"/>
    </row>
    <row r="302" spans="4:10">
      <c r="D302" s="242"/>
      <c r="E302" s="242"/>
      <c r="F302" s="206"/>
      <c r="G302" s="242"/>
      <c r="H302" s="206"/>
      <c r="I302" s="266"/>
      <c r="J302" s="206"/>
    </row>
    <row r="303" spans="4:10">
      <c r="D303" s="242"/>
      <c r="E303" s="242"/>
      <c r="F303" s="206"/>
      <c r="G303" s="242"/>
      <c r="H303" s="206"/>
      <c r="I303" s="266"/>
      <c r="J303" s="206"/>
    </row>
    <row r="304" spans="4:10">
      <c r="D304" s="242"/>
      <c r="E304" s="242"/>
      <c r="F304" s="206"/>
      <c r="G304" s="242"/>
      <c r="H304" s="206"/>
      <c r="I304" s="266"/>
      <c r="J304" s="206"/>
    </row>
    <row r="305" spans="4:10">
      <c r="D305" s="242"/>
      <c r="E305" s="242"/>
      <c r="F305" s="206"/>
      <c r="G305" s="242"/>
      <c r="H305" s="206"/>
      <c r="I305" s="266"/>
      <c r="J305" s="206"/>
    </row>
    <row r="306" spans="4:10">
      <c r="D306" s="242"/>
      <c r="E306" s="242"/>
      <c r="F306" s="206"/>
      <c r="G306" s="242"/>
      <c r="H306" s="206"/>
      <c r="I306" s="266"/>
      <c r="J306" s="206"/>
    </row>
    <row r="307" spans="4:10">
      <c r="I307" s="267"/>
    </row>
    <row r="308" spans="4:10">
      <c r="I308" s="267"/>
    </row>
    <row r="309" spans="4:10">
      <c r="I309" s="267"/>
    </row>
    <row r="310" spans="4:10">
      <c r="I310" s="267"/>
    </row>
    <row r="311" spans="4:10">
      <c r="I311" s="267"/>
    </row>
    <row r="312" spans="4:10">
      <c r="I312" s="267"/>
    </row>
    <row r="313" spans="4:10">
      <c r="I313" s="267"/>
    </row>
    <row r="314" spans="4:10">
      <c r="I314" s="267"/>
    </row>
  </sheetData>
  <pageMargins left="0.7" right="0.7" top="0.75" bottom="0.75" header="0.3" footer="0.3"/>
  <pageSetup paperSize="9" scale="89" orientation="portrait" r:id="rId1"/>
  <rowBreaks count="3" manualBreakCount="3">
    <brk id="9" max="16383" man="1"/>
    <brk id="44" max="9" man="1"/>
    <brk id="77" max="9"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311"/>
  <sheetViews>
    <sheetView view="pageBreakPreview" zoomScale="150" zoomScaleNormal="130" zoomScaleSheetLayoutView="150" workbookViewId="0">
      <selection activeCell="J8" sqref="J8"/>
    </sheetView>
  </sheetViews>
  <sheetFormatPr defaultRowHeight="12.75"/>
  <cols>
    <col min="1" max="1" width="3.42578125" customWidth="1"/>
    <col min="2" max="2" width="47.42578125" customWidth="1"/>
    <col min="3" max="3" width="1.7109375" customWidth="1"/>
    <col min="4" max="4" width="6.7109375" customWidth="1"/>
    <col min="5" max="5" width="0.7109375" customWidth="1"/>
    <col min="6" max="6" width="8.140625" style="105" customWidth="1"/>
    <col min="7" max="7" width="0.7109375" customWidth="1"/>
    <col min="8" max="8" width="12.7109375" style="104" customWidth="1"/>
    <col min="9" max="9" width="0.7109375" style="108" customWidth="1"/>
    <col min="10" max="10" width="12.85546875" style="104" bestFit="1" customWidth="1"/>
  </cols>
  <sheetData>
    <row r="1" spans="1:10" ht="25.5">
      <c r="A1" s="132" t="s">
        <v>51</v>
      </c>
      <c r="B1" s="132" t="s">
        <v>52</v>
      </c>
      <c r="C1" s="132"/>
      <c r="D1" s="133" t="s">
        <v>53</v>
      </c>
      <c r="E1" s="133"/>
      <c r="F1" s="134" t="s">
        <v>54</v>
      </c>
      <c r="G1" s="134"/>
      <c r="H1" s="135" t="s">
        <v>55</v>
      </c>
      <c r="I1" s="135"/>
      <c r="J1" s="133" t="s">
        <v>56</v>
      </c>
    </row>
    <row r="2" spans="1:10" ht="14.25">
      <c r="A2" s="137"/>
      <c r="B2" s="138"/>
      <c r="C2" s="138"/>
      <c r="D2" s="139"/>
      <c r="E2" s="139"/>
      <c r="F2" s="140"/>
      <c r="G2" s="141"/>
      <c r="H2" s="142"/>
      <c r="I2" s="143"/>
      <c r="J2" s="139"/>
    </row>
    <row r="3" spans="1:10" ht="15.75">
      <c r="A3" s="144"/>
      <c r="B3" s="144" t="s">
        <v>793</v>
      </c>
      <c r="C3" s="144"/>
      <c r="D3" s="145"/>
      <c r="E3" s="145"/>
      <c r="F3" s="146"/>
      <c r="G3" s="147"/>
      <c r="H3" s="148"/>
      <c r="I3" s="149"/>
      <c r="J3" s="150"/>
    </row>
    <row r="4" spans="1:10" ht="15.75">
      <c r="A4" s="639" t="s">
        <v>58</v>
      </c>
      <c r="B4" s="639" t="s">
        <v>57</v>
      </c>
      <c r="C4" s="639"/>
      <c r="D4" s="640"/>
      <c r="E4" s="640"/>
      <c r="F4" s="641"/>
      <c r="G4" s="642"/>
      <c r="H4" s="643"/>
      <c r="I4" s="644"/>
      <c r="J4" s="645">
        <f>J17</f>
        <v>0</v>
      </c>
    </row>
    <row r="5" spans="1:10" ht="15.75">
      <c r="A5" s="144" t="s">
        <v>61</v>
      </c>
      <c r="B5" s="144" t="s">
        <v>76</v>
      </c>
      <c r="C5" s="144"/>
      <c r="D5" s="145"/>
      <c r="E5" s="145"/>
      <c r="F5" s="146"/>
      <c r="G5" s="147"/>
      <c r="H5" s="148"/>
      <c r="I5" s="149"/>
      <c r="J5" s="168">
        <f>J42</f>
        <v>0</v>
      </c>
    </row>
    <row r="6" spans="1:10" ht="15.75">
      <c r="A6" s="144" t="s">
        <v>63</v>
      </c>
      <c r="B6" s="144" t="s">
        <v>791</v>
      </c>
      <c r="C6" s="144"/>
      <c r="D6" s="145"/>
      <c r="E6" s="145"/>
      <c r="F6" s="146"/>
      <c r="G6" s="147"/>
      <c r="H6" s="148"/>
      <c r="I6" s="149"/>
      <c r="J6" s="168">
        <f>J85</f>
        <v>0</v>
      </c>
    </row>
    <row r="7" spans="1:10" ht="15.75">
      <c r="A7" s="646" t="s">
        <v>67</v>
      </c>
      <c r="B7" s="646" t="s">
        <v>31</v>
      </c>
      <c r="C7" s="646"/>
      <c r="D7" s="647"/>
      <c r="E7" s="647"/>
      <c r="F7" s="648"/>
      <c r="G7" s="649"/>
      <c r="H7" s="650"/>
      <c r="I7" s="651"/>
      <c r="J7" s="652">
        <f>J91</f>
        <v>0</v>
      </c>
    </row>
    <row r="8" spans="1:10" ht="15.75">
      <c r="A8" s="144"/>
      <c r="B8" s="144" t="s">
        <v>792</v>
      </c>
      <c r="C8" s="144"/>
      <c r="D8" s="145"/>
      <c r="E8" s="145"/>
      <c r="F8" s="146"/>
      <c r="G8" s="147"/>
      <c r="H8" s="148"/>
      <c r="I8" s="149"/>
      <c r="J8" s="150">
        <f>SUM(J4:J7)</f>
        <v>0</v>
      </c>
    </row>
    <row r="9" spans="1:10" ht="15.75">
      <c r="A9" s="151"/>
      <c r="B9" s="151"/>
      <c r="C9" s="151"/>
      <c r="D9" s="152"/>
      <c r="E9" s="152"/>
      <c r="F9" s="153"/>
      <c r="G9" s="154"/>
      <c r="H9" s="155"/>
      <c r="I9" s="156"/>
      <c r="J9" s="155"/>
    </row>
    <row r="10" spans="1:10" ht="14.25">
      <c r="A10" s="158"/>
      <c r="B10" s="159"/>
      <c r="C10" s="159"/>
      <c r="D10" s="160"/>
      <c r="E10" s="160"/>
      <c r="F10" s="161"/>
      <c r="G10" s="162"/>
      <c r="H10" s="150"/>
      <c r="I10" s="163"/>
      <c r="J10" s="150"/>
    </row>
    <row r="11" spans="1:10" ht="15">
      <c r="A11" s="164" t="s">
        <v>58</v>
      </c>
      <c r="B11" s="164" t="s">
        <v>57</v>
      </c>
      <c r="C11" s="164"/>
      <c r="D11" s="165"/>
      <c r="E11" s="165"/>
      <c r="F11" s="166"/>
      <c r="G11" s="167"/>
      <c r="H11" s="168"/>
      <c r="I11" s="169"/>
      <c r="J11" s="150"/>
    </row>
    <row r="12" spans="1:10" ht="14.25">
      <c r="A12" s="137"/>
      <c r="B12" s="138"/>
      <c r="C12" s="138"/>
      <c r="D12" s="160"/>
      <c r="E12" s="160"/>
      <c r="F12" s="170"/>
      <c r="G12" s="171"/>
      <c r="H12" s="150"/>
      <c r="I12" s="163"/>
      <c r="J12" s="150"/>
    </row>
    <row r="13" spans="1:10">
      <c r="A13" s="172" t="s">
        <v>58</v>
      </c>
      <c r="B13" s="173" t="s">
        <v>753</v>
      </c>
      <c r="C13" s="173"/>
      <c r="D13" s="174" t="s">
        <v>182</v>
      </c>
      <c r="E13" s="160">
        <f>165+255+55+20</f>
        <v>495</v>
      </c>
      <c r="F13" s="175">
        <v>1</v>
      </c>
      <c r="G13" s="167">
        <v>2</v>
      </c>
      <c r="H13" s="176"/>
      <c r="I13" s="163"/>
      <c r="J13" s="176">
        <f>F13*H13</f>
        <v>0</v>
      </c>
    </row>
    <row r="14" spans="1:10">
      <c r="A14" s="172"/>
      <c r="B14" s="158"/>
      <c r="C14" s="158"/>
      <c r="D14" s="160"/>
      <c r="E14" s="160"/>
      <c r="F14" s="160"/>
      <c r="G14" s="179"/>
      <c r="H14" s="150"/>
      <c r="I14" s="163"/>
      <c r="J14" s="150"/>
    </row>
    <row r="15" spans="1:10" ht="38.25">
      <c r="A15" s="172" t="s">
        <v>61</v>
      </c>
      <c r="B15" s="173" t="s">
        <v>70</v>
      </c>
      <c r="C15" s="173"/>
      <c r="D15" s="174" t="s">
        <v>71</v>
      </c>
      <c r="E15" s="165"/>
      <c r="F15" s="175">
        <v>5</v>
      </c>
      <c r="G15" s="167"/>
      <c r="H15" s="176"/>
      <c r="I15" s="182"/>
      <c r="J15" s="176">
        <f>F15*H15</f>
        <v>0</v>
      </c>
    </row>
    <row r="16" spans="1:10">
      <c r="A16" s="172"/>
      <c r="B16" s="173"/>
      <c r="C16" s="173"/>
      <c r="D16" s="165"/>
      <c r="E16" s="165"/>
      <c r="F16" s="166"/>
      <c r="G16" s="167"/>
      <c r="H16" s="168"/>
      <c r="I16" s="182"/>
      <c r="J16" s="168"/>
    </row>
    <row r="17" spans="1:10" ht="13.5" thickBot="1">
      <c r="A17" s="183"/>
      <c r="B17" s="184" t="s">
        <v>75</v>
      </c>
      <c r="C17" s="184"/>
      <c r="D17" s="185"/>
      <c r="E17" s="185"/>
      <c r="F17" s="186"/>
      <c r="G17" s="185"/>
      <c r="H17" s="187"/>
      <c r="I17" s="188"/>
      <c r="J17" s="638">
        <f>SUM(J13:J15)</f>
        <v>0</v>
      </c>
    </row>
    <row r="18" spans="1:10" ht="13.5" thickTop="1">
      <c r="A18" s="190"/>
      <c r="B18" s="191"/>
      <c r="C18" s="191"/>
      <c r="D18" s="192"/>
      <c r="E18" s="192"/>
      <c r="F18" s="165"/>
      <c r="G18" s="192"/>
      <c r="H18" s="193"/>
      <c r="I18" s="182"/>
      <c r="J18" s="194"/>
    </row>
    <row r="19" spans="1:10">
      <c r="A19" s="190"/>
      <c r="B19" s="191"/>
      <c r="C19" s="191"/>
      <c r="D19" s="192"/>
      <c r="E19" s="192"/>
      <c r="F19" s="165"/>
      <c r="G19" s="192"/>
      <c r="H19" s="193"/>
      <c r="I19" s="182"/>
      <c r="J19" s="194"/>
    </row>
    <row r="20" spans="1:10" ht="15">
      <c r="A20" s="195" t="s">
        <v>61</v>
      </c>
      <c r="B20" s="196" t="s">
        <v>76</v>
      </c>
      <c r="C20" s="196"/>
      <c r="D20" s="160"/>
      <c r="E20" s="160"/>
      <c r="F20" s="170"/>
      <c r="G20" s="171"/>
      <c r="H20" s="197"/>
      <c r="I20" s="180"/>
      <c r="J20" s="198"/>
    </row>
    <row r="21" spans="1:10" ht="15">
      <c r="A21" s="195"/>
      <c r="B21" s="196"/>
      <c r="C21" s="196"/>
      <c r="D21" s="160"/>
      <c r="E21" s="160"/>
      <c r="F21" s="170"/>
      <c r="G21" s="171"/>
      <c r="H21" s="197"/>
      <c r="I21" s="180"/>
      <c r="J21" s="198"/>
    </row>
    <row r="22" spans="1:10" ht="38.25">
      <c r="A22" s="172" t="s">
        <v>58</v>
      </c>
      <c r="B22" s="173" t="s">
        <v>77</v>
      </c>
      <c r="C22" s="173"/>
      <c r="D22" s="160"/>
      <c r="E22" s="160"/>
      <c r="F22" s="170"/>
      <c r="G22" s="171"/>
      <c r="H22" s="197"/>
      <c r="I22" s="180"/>
      <c r="J22" s="198"/>
    </row>
    <row r="23" spans="1:10" ht="15">
      <c r="A23" s="195"/>
      <c r="B23" s="196"/>
      <c r="C23" s="196"/>
      <c r="D23" s="174" t="s">
        <v>108</v>
      </c>
      <c r="E23" s="160"/>
      <c r="F23" s="175">
        <f>8*4*0.2</f>
        <v>6.4</v>
      </c>
      <c r="G23" s="171"/>
      <c r="H23" s="201"/>
      <c r="I23" s="180"/>
      <c r="J23" s="202">
        <f>F23*H23</f>
        <v>0</v>
      </c>
    </row>
    <row r="24" spans="1:10" ht="15">
      <c r="A24" s="195"/>
      <c r="B24" s="196"/>
      <c r="C24" s="196"/>
      <c r="D24" s="160"/>
      <c r="E24" s="160"/>
      <c r="F24" s="170"/>
      <c r="G24" s="171"/>
      <c r="H24" s="197"/>
      <c r="I24" s="180"/>
      <c r="J24" s="198"/>
    </row>
    <row r="25" spans="1:10" ht="63.75">
      <c r="A25" s="203" t="s">
        <v>61</v>
      </c>
      <c r="B25" s="629" t="s">
        <v>754</v>
      </c>
      <c r="C25" s="205"/>
      <c r="D25" s="206"/>
      <c r="E25" s="206"/>
      <c r="F25" s="207"/>
      <c r="G25" s="208"/>
      <c r="H25" s="209"/>
      <c r="I25" s="180"/>
      <c r="J25" s="194"/>
    </row>
    <row r="26" spans="1:10" ht="15.75">
      <c r="A26" s="210"/>
      <c r="B26" s="205" t="s">
        <v>78</v>
      </c>
      <c r="C26" s="205"/>
      <c r="D26" s="211" t="s">
        <v>108</v>
      </c>
      <c r="E26" s="206"/>
      <c r="F26" s="212">
        <f>8*3.8*3</f>
        <v>91.199999999999989</v>
      </c>
      <c r="G26" s="208"/>
      <c r="H26" s="213"/>
      <c r="I26" s="180"/>
      <c r="J26" s="202">
        <f>F26*H26</f>
        <v>0</v>
      </c>
    </row>
    <row r="27" spans="1:10">
      <c r="A27" s="203"/>
      <c r="B27" s="205" t="s">
        <v>79</v>
      </c>
      <c r="C27" s="205"/>
      <c r="D27" s="211" t="s">
        <v>108</v>
      </c>
      <c r="E27" s="206"/>
      <c r="F27" s="212">
        <f>F26/20</f>
        <v>4.5599999999999996</v>
      </c>
      <c r="G27" s="208"/>
      <c r="H27" s="213"/>
      <c r="I27" s="180"/>
      <c r="J27" s="202">
        <f>F27*H27</f>
        <v>0</v>
      </c>
    </row>
    <row r="28" spans="1:10">
      <c r="A28" s="203"/>
      <c r="B28" s="173"/>
      <c r="C28" s="205"/>
      <c r="D28" s="214"/>
      <c r="E28" s="206"/>
      <c r="F28" s="207"/>
      <c r="G28" s="208"/>
      <c r="H28" s="215"/>
      <c r="I28" s="180"/>
      <c r="J28" s="194"/>
    </row>
    <row r="29" spans="1:10" ht="25.5">
      <c r="A29" s="203" t="s">
        <v>63</v>
      </c>
      <c r="B29" s="173" t="s">
        <v>755</v>
      </c>
      <c r="C29" s="205"/>
      <c r="D29" s="206"/>
      <c r="E29" s="206"/>
      <c r="F29" s="216"/>
      <c r="G29" s="217"/>
      <c r="H29" s="209"/>
      <c r="I29" s="180"/>
      <c r="J29" s="218"/>
    </row>
    <row r="30" spans="1:10">
      <c r="A30" s="203"/>
      <c r="B30" s="205"/>
      <c r="C30" s="205"/>
      <c r="D30" s="211" t="s">
        <v>105</v>
      </c>
      <c r="E30" s="206"/>
      <c r="F30" s="220">
        <f>3.8*8.8</f>
        <v>33.44</v>
      </c>
      <c r="G30" s="221"/>
      <c r="H30" s="213"/>
      <c r="I30" s="180"/>
      <c r="J30" s="202">
        <f>F30*H30</f>
        <v>0</v>
      </c>
    </row>
    <row r="31" spans="1:10">
      <c r="A31" s="172"/>
      <c r="B31" s="224"/>
      <c r="C31" s="225"/>
      <c r="D31" s="160"/>
      <c r="E31" s="160"/>
      <c r="F31" s="166"/>
      <c r="G31" s="167"/>
      <c r="H31" s="215"/>
      <c r="I31" s="169"/>
      <c r="J31" s="194"/>
    </row>
    <row r="32" spans="1:10" ht="25.5">
      <c r="A32" s="172" t="s">
        <v>68</v>
      </c>
      <c r="B32" s="173" t="s">
        <v>756</v>
      </c>
      <c r="C32" s="225"/>
      <c r="D32" s="174" t="s">
        <v>108</v>
      </c>
      <c r="E32" s="160"/>
      <c r="F32" s="175">
        <f>F30*0.3</f>
        <v>10.031999999999998</v>
      </c>
      <c r="G32" s="167"/>
      <c r="H32" s="213"/>
      <c r="I32" s="169"/>
      <c r="J32" s="202">
        <f>F32*H32</f>
        <v>0</v>
      </c>
    </row>
    <row r="33" spans="1:10">
      <c r="A33" s="172"/>
      <c r="B33" s="173"/>
      <c r="C33" s="225"/>
      <c r="D33" s="165"/>
      <c r="E33" s="160"/>
      <c r="F33" s="166"/>
      <c r="G33" s="167"/>
      <c r="H33" s="215"/>
      <c r="I33" s="169"/>
      <c r="J33" s="194"/>
    </row>
    <row r="34" spans="1:10" ht="76.5">
      <c r="A34" s="172" t="s">
        <v>69</v>
      </c>
      <c r="B34" s="224" t="s">
        <v>774</v>
      </c>
      <c r="C34" s="226"/>
      <c r="D34" s="179"/>
      <c r="E34" s="179"/>
      <c r="F34" s="166"/>
      <c r="G34" s="167"/>
      <c r="H34" s="198"/>
      <c r="I34" s="163"/>
      <c r="J34" s="198"/>
    </row>
    <row r="35" spans="1:10">
      <c r="A35" s="172"/>
      <c r="B35" s="173" t="s">
        <v>78</v>
      </c>
      <c r="C35" s="173"/>
      <c r="D35" s="174" t="s">
        <v>108</v>
      </c>
      <c r="E35" s="160"/>
      <c r="F35" s="175">
        <v>34</v>
      </c>
      <c r="G35" s="167"/>
      <c r="H35" s="213"/>
      <c r="I35" s="163"/>
      <c r="J35" s="202">
        <f>F35*H35</f>
        <v>0</v>
      </c>
    </row>
    <row r="36" spans="1:10">
      <c r="A36" s="172"/>
      <c r="B36" s="173" t="s">
        <v>79</v>
      </c>
      <c r="C36" s="173"/>
      <c r="D36" s="174" t="s">
        <v>108</v>
      </c>
      <c r="E36" s="160"/>
      <c r="F36" s="181">
        <f>F35/20</f>
        <v>1.7</v>
      </c>
      <c r="G36" s="167"/>
      <c r="H36" s="213"/>
      <c r="I36" s="163"/>
      <c r="J36" s="202">
        <f>F36*H36</f>
        <v>0</v>
      </c>
    </row>
    <row r="37" spans="1:10">
      <c r="A37" s="172"/>
      <c r="B37" s="173"/>
      <c r="C37" s="173"/>
      <c r="D37" s="165"/>
      <c r="E37" s="160"/>
      <c r="F37" s="166"/>
      <c r="G37" s="167"/>
      <c r="H37" s="215"/>
      <c r="I37" s="163"/>
      <c r="J37" s="194"/>
    </row>
    <row r="38" spans="1:10" ht="63.75">
      <c r="A38" s="227" t="s">
        <v>72</v>
      </c>
      <c r="B38" s="228" t="s">
        <v>26</v>
      </c>
      <c r="C38" s="228"/>
      <c r="D38" s="229" t="s">
        <v>105</v>
      </c>
      <c r="E38" s="230"/>
      <c r="F38" s="231">
        <v>35</v>
      </c>
      <c r="G38" s="192"/>
      <c r="H38" s="202"/>
      <c r="I38" s="169"/>
      <c r="J38" s="202">
        <f>F38*H38</f>
        <v>0</v>
      </c>
    </row>
    <row r="39" spans="1:10">
      <c r="A39" s="172"/>
      <c r="B39" s="224"/>
      <c r="C39" s="226"/>
      <c r="D39" s="160"/>
      <c r="E39" s="160"/>
      <c r="F39" s="166"/>
      <c r="G39" s="167"/>
      <c r="H39" s="215"/>
      <c r="I39" s="163"/>
      <c r="J39" s="194"/>
    </row>
    <row r="40" spans="1:10" ht="25.5">
      <c r="A40" s="172" t="s">
        <v>73</v>
      </c>
      <c r="B40" s="228" t="s">
        <v>27</v>
      </c>
      <c r="C40" s="226"/>
      <c r="D40" s="174" t="s">
        <v>108</v>
      </c>
      <c r="E40" s="160"/>
      <c r="F40" s="175">
        <f>F26+F27-F35-F36</f>
        <v>60.059999999999988</v>
      </c>
      <c r="G40" s="167"/>
      <c r="H40" s="213"/>
      <c r="I40" s="163"/>
      <c r="J40" s="202">
        <f>F40*H40</f>
        <v>0</v>
      </c>
    </row>
    <row r="41" spans="1:10">
      <c r="A41" s="172"/>
      <c r="B41" s="228"/>
      <c r="C41" s="226"/>
      <c r="D41" s="165"/>
      <c r="E41" s="160"/>
      <c r="F41" s="166"/>
      <c r="G41" s="167"/>
      <c r="H41" s="215"/>
      <c r="I41" s="163"/>
      <c r="J41" s="194"/>
    </row>
    <row r="42" spans="1:10" ht="13.5" thickBot="1">
      <c r="A42" s="183"/>
      <c r="B42" s="232" t="s">
        <v>28</v>
      </c>
      <c r="C42" s="232"/>
      <c r="D42" s="233"/>
      <c r="E42" s="233"/>
      <c r="F42" s="234"/>
      <c r="G42" s="235"/>
      <c r="H42" s="189"/>
      <c r="I42" s="236"/>
      <c r="J42" s="638">
        <f>SUM(J23:J41)</f>
        <v>0</v>
      </c>
    </row>
    <row r="43" spans="1:10" ht="13.5" thickTop="1">
      <c r="A43" s="190"/>
      <c r="B43" s="237"/>
      <c r="C43" s="237"/>
      <c r="D43" s="238"/>
      <c r="E43" s="238"/>
      <c r="F43" s="166"/>
      <c r="G43" s="167"/>
      <c r="H43" s="194"/>
      <c r="I43" s="169"/>
      <c r="J43" s="194"/>
    </row>
    <row r="44" spans="1:10">
      <c r="A44" s="190"/>
      <c r="B44" s="237"/>
      <c r="C44" s="237"/>
      <c r="D44" s="238"/>
      <c r="E44" s="238"/>
      <c r="F44" s="166"/>
      <c r="G44" s="167"/>
      <c r="H44" s="194"/>
      <c r="I44" s="169"/>
      <c r="J44" s="194"/>
    </row>
    <row r="45" spans="1:10" ht="15">
      <c r="A45" s="195" t="s">
        <v>63</v>
      </c>
      <c r="B45" s="239" t="s">
        <v>790</v>
      </c>
      <c r="C45" s="239"/>
      <c r="D45" s="160"/>
      <c r="E45" s="160"/>
      <c r="F45" s="170"/>
      <c r="G45" s="171"/>
      <c r="H45" s="198"/>
      <c r="I45" s="163"/>
      <c r="J45" s="198"/>
    </row>
    <row r="46" spans="1:10" ht="15">
      <c r="A46" s="195"/>
      <c r="B46" s="631" t="s">
        <v>786</v>
      </c>
      <c r="C46" s="239"/>
      <c r="D46" s="160"/>
      <c r="E46" s="160"/>
      <c r="F46" s="170"/>
      <c r="G46" s="171"/>
      <c r="H46" s="198"/>
      <c r="I46" s="163"/>
      <c r="J46" s="198"/>
    </row>
    <row r="47" spans="1:10" ht="38.25">
      <c r="A47" s="172" t="s">
        <v>58</v>
      </c>
      <c r="B47" s="226" t="s">
        <v>799</v>
      </c>
      <c r="C47" s="226"/>
      <c r="D47" s="174" t="s">
        <v>190</v>
      </c>
      <c r="E47" s="160"/>
      <c r="F47" s="240">
        <v>1</v>
      </c>
      <c r="G47" s="223"/>
      <c r="H47" s="213"/>
      <c r="I47" s="163"/>
      <c r="J47" s="202">
        <f>F47*H47</f>
        <v>0</v>
      </c>
    </row>
    <row r="48" spans="1:10">
      <c r="A48" s="172"/>
      <c r="B48" s="630" t="s">
        <v>775</v>
      </c>
      <c r="C48" s="226"/>
      <c r="D48" s="165"/>
      <c r="E48" s="160"/>
      <c r="F48" s="222"/>
      <c r="G48" s="223"/>
      <c r="H48" s="215"/>
      <c r="I48" s="163"/>
      <c r="J48" s="194"/>
    </row>
    <row r="49" spans="1:10" ht="63.75">
      <c r="A49" s="172"/>
      <c r="B49" s="630" t="s">
        <v>776</v>
      </c>
      <c r="C49" s="226"/>
      <c r="D49" s="165"/>
      <c r="E49" s="160"/>
      <c r="F49" s="222"/>
      <c r="G49" s="223"/>
      <c r="H49" s="215"/>
      <c r="I49" s="163"/>
      <c r="J49" s="194"/>
    </row>
    <row r="50" spans="1:10" ht="51">
      <c r="A50" s="172"/>
      <c r="B50" s="630" t="s">
        <v>777</v>
      </c>
      <c r="C50" s="226"/>
      <c r="D50" s="165"/>
      <c r="E50" s="160"/>
      <c r="F50" s="222"/>
      <c r="G50" s="223"/>
      <c r="H50" s="215"/>
      <c r="I50" s="163"/>
      <c r="J50" s="194"/>
    </row>
    <row r="51" spans="1:10" ht="25.5">
      <c r="A51" s="172"/>
      <c r="B51" s="630" t="s">
        <v>757</v>
      </c>
      <c r="C51" s="226"/>
      <c r="D51" s="165"/>
      <c r="E51" s="160"/>
      <c r="F51" s="222"/>
      <c r="G51" s="223"/>
      <c r="H51" s="215"/>
      <c r="I51" s="163"/>
      <c r="J51" s="194"/>
    </row>
    <row r="52" spans="1:10" ht="51">
      <c r="A52" s="172"/>
      <c r="B52" s="630" t="s">
        <v>758</v>
      </c>
      <c r="C52" s="226"/>
      <c r="D52" s="165"/>
      <c r="E52" s="160"/>
      <c r="F52" s="222"/>
      <c r="G52" s="223"/>
      <c r="H52" s="215"/>
      <c r="I52" s="163"/>
      <c r="J52" s="194"/>
    </row>
    <row r="53" spans="1:10" ht="25.5">
      <c r="A53" s="172"/>
      <c r="B53" s="630" t="s">
        <v>759</v>
      </c>
      <c r="C53" s="226"/>
      <c r="D53" s="165"/>
      <c r="E53" s="160"/>
      <c r="F53" s="222"/>
      <c r="G53" s="223"/>
      <c r="H53" s="215"/>
      <c r="I53" s="163"/>
      <c r="J53" s="194"/>
    </row>
    <row r="54" spans="1:10" ht="25.5">
      <c r="A54" s="172"/>
      <c r="B54" s="630" t="s">
        <v>760</v>
      </c>
      <c r="C54" s="226"/>
      <c r="D54" s="165"/>
      <c r="E54" s="160"/>
      <c r="F54" s="222"/>
      <c r="G54" s="223"/>
      <c r="H54" s="215"/>
      <c r="I54" s="163"/>
      <c r="J54" s="194"/>
    </row>
    <row r="55" spans="1:10" ht="25.5">
      <c r="A55" s="172"/>
      <c r="B55" s="630" t="s">
        <v>761</v>
      </c>
      <c r="C55" s="226"/>
      <c r="D55" s="160"/>
      <c r="E55" s="160"/>
      <c r="F55" s="170"/>
      <c r="G55" s="171"/>
      <c r="H55" s="198"/>
      <c r="I55" s="163"/>
      <c r="J55" s="198"/>
    </row>
    <row r="56" spans="1:10">
      <c r="A56" s="172"/>
      <c r="B56" s="630"/>
      <c r="C56" s="226"/>
      <c r="D56" s="160"/>
      <c r="E56" s="160"/>
      <c r="F56" s="170"/>
      <c r="G56" s="171"/>
      <c r="H56" s="198"/>
      <c r="I56" s="163"/>
      <c r="J56" s="198"/>
    </row>
    <row r="57" spans="1:10">
      <c r="A57" s="172"/>
      <c r="B57" s="630" t="s">
        <v>785</v>
      </c>
      <c r="C57" s="226"/>
      <c r="D57" s="160"/>
      <c r="E57" s="160"/>
      <c r="F57" s="170"/>
      <c r="G57" s="171"/>
      <c r="H57" s="198"/>
      <c r="I57" s="163"/>
      <c r="J57" s="198"/>
    </row>
    <row r="58" spans="1:10" ht="25.5">
      <c r="A58" s="172" t="s">
        <v>61</v>
      </c>
      <c r="B58" s="630" t="s">
        <v>794</v>
      </c>
      <c r="C58" s="226"/>
      <c r="D58" s="174" t="s">
        <v>190</v>
      </c>
      <c r="E58" s="160"/>
      <c r="F58" s="240">
        <v>1</v>
      </c>
      <c r="G58" s="223"/>
      <c r="H58" s="213"/>
      <c r="I58" s="163"/>
      <c r="J58" s="202">
        <f>F58*H58</f>
        <v>0</v>
      </c>
    </row>
    <row r="59" spans="1:10">
      <c r="A59" s="172"/>
      <c r="B59" s="630" t="s">
        <v>775</v>
      </c>
      <c r="C59" s="226"/>
      <c r="D59" s="160"/>
      <c r="E59" s="160"/>
      <c r="F59" s="170"/>
      <c r="G59" s="171"/>
      <c r="H59" s="198"/>
      <c r="I59" s="163"/>
      <c r="J59" s="198"/>
    </row>
    <row r="60" spans="1:10">
      <c r="A60" s="172"/>
      <c r="B60" s="630" t="s">
        <v>781</v>
      </c>
      <c r="C60" s="226"/>
      <c r="D60" s="160"/>
      <c r="E60" s="160"/>
      <c r="F60" s="170"/>
      <c r="G60" s="171"/>
      <c r="H60" s="198"/>
      <c r="I60" s="163"/>
      <c r="J60" s="198"/>
    </row>
    <row r="61" spans="1:10" ht="25.5">
      <c r="A61" s="172"/>
      <c r="B61" s="630" t="s">
        <v>778</v>
      </c>
      <c r="C61" s="226"/>
      <c r="D61" s="160"/>
      <c r="E61" s="160"/>
      <c r="F61" s="170"/>
      <c r="G61" s="171"/>
      <c r="H61" s="198"/>
      <c r="I61" s="163"/>
      <c r="J61" s="198"/>
    </row>
    <row r="62" spans="1:10" ht="38.25">
      <c r="A62" s="172"/>
      <c r="B62" s="630" t="s">
        <v>779</v>
      </c>
      <c r="C62" s="226"/>
      <c r="D62" s="160"/>
      <c r="E62" s="160"/>
      <c r="F62" s="170"/>
      <c r="G62" s="171"/>
      <c r="H62" s="198"/>
      <c r="I62" s="163"/>
      <c r="J62" s="198"/>
    </row>
    <row r="63" spans="1:10" ht="25.5">
      <c r="A63" s="172"/>
      <c r="B63" s="630" t="s">
        <v>795</v>
      </c>
      <c r="C63" s="226"/>
      <c r="D63" s="160"/>
      <c r="E63" s="160"/>
      <c r="F63" s="170"/>
      <c r="G63" s="171"/>
      <c r="H63" s="198"/>
      <c r="I63" s="163"/>
      <c r="J63" s="198"/>
    </row>
    <row r="64" spans="1:10">
      <c r="A64" s="172"/>
      <c r="B64" s="630"/>
      <c r="C64" s="226"/>
      <c r="D64" s="160"/>
      <c r="E64" s="160"/>
      <c r="F64" s="170"/>
      <c r="G64" s="171"/>
      <c r="H64" s="198"/>
      <c r="I64" s="163"/>
      <c r="J64" s="198"/>
    </row>
    <row r="65" spans="1:10" ht="25.5">
      <c r="A65" s="172" t="s">
        <v>63</v>
      </c>
      <c r="B65" s="226" t="s">
        <v>762</v>
      </c>
      <c r="C65" s="226"/>
      <c r="D65" s="174"/>
      <c r="E65" s="160"/>
      <c r="F65" s="240"/>
      <c r="G65" s="223"/>
      <c r="H65" s="213"/>
      <c r="I65" s="163"/>
      <c r="J65" s="202"/>
    </row>
    <row r="66" spans="1:10">
      <c r="A66" s="172"/>
      <c r="B66" s="630" t="s">
        <v>766</v>
      </c>
      <c r="C66" s="226"/>
      <c r="D66" s="632" t="s">
        <v>190</v>
      </c>
      <c r="E66" s="632"/>
      <c r="F66" s="633">
        <v>2</v>
      </c>
      <c r="G66" s="634"/>
      <c r="H66" s="635"/>
      <c r="I66" s="636"/>
      <c r="J66" s="635">
        <f>F66*H66</f>
        <v>0</v>
      </c>
    </row>
    <row r="67" spans="1:10">
      <c r="A67" s="172"/>
      <c r="B67" s="630" t="s">
        <v>796</v>
      </c>
      <c r="C67" s="226"/>
      <c r="D67" s="632" t="s">
        <v>190</v>
      </c>
      <c r="E67" s="632"/>
      <c r="F67" s="633">
        <v>2</v>
      </c>
      <c r="G67" s="634"/>
      <c r="H67" s="635"/>
      <c r="I67" s="636"/>
      <c r="J67" s="635">
        <f t="shared" ref="J67:J71" si="0">F67*H67</f>
        <v>0</v>
      </c>
    </row>
    <row r="68" spans="1:10">
      <c r="A68" s="172"/>
      <c r="B68" s="630" t="s">
        <v>764</v>
      </c>
      <c r="C68" s="226"/>
      <c r="D68" s="632" t="s">
        <v>190</v>
      </c>
      <c r="E68" s="632"/>
      <c r="F68" s="633">
        <v>2</v>
      </c>
      <c r="G68" s="634"/>
      <c r="H68" s="635"/>
      <c r="I68" s="636"/>
      <c r="J68" s="635">
        <f t="shared" si="0"/>
        <v>0</v>
      </c>
    </row>
    <row r="69" spans="1:10">
      <c r="A69" s="172"/>
      <c r="B69" s="630" t="s">
        <v>763</v>
      </c>
      <c r="C69" s="226"/>
      <c r="D69" s="632" t="s">
        <v>190</v>
      </c>
      <c r="E69" s="632"/>
      <c r="F69" s="633">
        <v>2</v>
      </c>
      <c r="G69" s="634"/>
      <c r="H69" s="635"/>
      <c r="I69" s="636"/>
      <c r="J69" s="635">
        <f t="shared" si="0"/>
        <v>0</v>
      </c>
    </row>
    <row r="70" spans="1:10">
      <c r="A70" s="172"/>
      <c r="B70" s="630" t="s">
        <v>797</v>
      </c>
      <c r="C70" s="226"/>
      <c r="D70" s="632" t="s">
        <v>190</v>
      </c>
      <c r="E70" s="632"/>
      <c r="F70" s="633">
        <v>2</v>
      </c>
      <c r="G70" s="634"/>
      <c r="H70" s="635"/>
      <c r="I70" s="636"/>
      <c r="J70" s="635">
        <f t="shared" si="0"/>
        <v>0</v>
      </c>
    </row>
    <row r="71" spans="1:10" ht="25.5">
      <c r="A71" s="172"/>
      <c r="B71" s="630" t="s">
        <v>798</v>
      </c>
      <c r="C71" s="226"/>
      <c r="D71" s="632" t="s">
        <v>190</v>
      </c>
      <c r="E71" s="632"/>
      <c r="F71" s="633">
        <v>2</v>
      </c>
      <c r="G71" s="634"/>
      <c r="H71" s="635"/>
      <c r="I71" s="636"/>
      <c r="J71" s="635">
        <f t="shared" si="0"/>
        <v>0</v>
      </c>
    </row>
    <row r="72" spans="1:10" ht="25.5">
      <c r="A72" s="172"/>
      <c r="B72" s="630" t="s">
        <v>769</v>
      </c>
      <c r="C72" s="226"/>
      <c r="D72" s="165"/>
      <c r="E72" s="165"/>
      <c r="F72" s="166"/>
      <c r="G72" s="167"/>
      <c r="H72" s="194"/>
      <c r="I72" s="169"/>
      <c r="J72" s="194"/>
    </row>
    <row r="73" spans="1:10">
      <c r="A73" s="172"/>
      <c r="B73" s="630"/>
      <c r="C73" s="226"/>
      <c r="D73" s="165"/>
      <c r="E73" s="165"/>
      <c r="F73" s="166"/>
      <c r="G73" s="167"/>
      <c r="H73" s="194"/>
      <c r="I73" s="169"/>
      <c r="J73" s="194"/>
    </row>
    <row r="74" spans="1:10">
      <c r="A74" s="172"/>
      <c r="B74" s="226"/>
      <c r="C74" s="226"/>
      <c r="D74" s="160"/>
      <c r="E74" s="160"/>
      <c r="F74" s="170"/>
      <c r="G74" s="171"/>
      <c r="H74" s="198"/>
      <c r="I74" s="163"/>
      <c r="J74" s="198"/>
    </row>
    <row r="75" spans="1:10" ht="25.5">
      <c r="A75" s="172" t="s">
        <v>67</v>
      </c>
      <c r="B75" s="241" t="s">
        <v>770</v>
      </c>
      <c r="C75" s="241"/>
      <c r="D75" s="165"/>
      <c r="E75" s="165"/>
      <c r="F75" s="166"/>
      <c r="G75" s="167"/>
      <c r="H75" s="198"/>
      <c r="I75" s="163"/>
      <c r="J75" s="198"/>
    </row>
    <row r="76" spans="1:10">
      <c r="A76" s="172"/>
      <c r="B76" s="637" t="s">
        <v>771</v>
      </c>
      <c r="C76" s="241"/>
      <c r="D76" s="174" t="s">
        <v>190</v>
      </c>
      <c r="E76" s="165"/>
      <c r="F76" s="175">
        <v>2</v>
      </c>
      <c r="G76" s="167"/>
      <c r="H76" s="213"/>
      <c r="I76" s="163"/>
      <c r="J76" s="202">
        <f>F76*H76</f>
        <v>0</v>
      </c>
    </row>
    <row r="77" spans="1:10">
      <c r="A77" s="172"/>
      <c r="B77" s="637" t="s">
        <v>772</v>
      </c>
      <c r="C77" s="241"/>
      <c r="D77" s="174" t="s">
        <v>190</v>
      </c>
      <c r="E77" s="165"/>
      <c r="F77" s="175">
        <v>2</v>
      </c>
      <c r="G77" s="167"/>
      <c r="H77" s="213"/>
      <c r="I77" s="163"/>
      <c r="J77" s="202">
        <f>F77*H77</f>
        <v>0</v>
      </c>
    </row>
    <row r="78" spans="1:10">
      <c r="A78" s="172"/>
      <c r="B78" s="637" t="s">
        <v>788</v>
      </c>
      <c r="C78" s="241"/>
      <c r="D78" s="174" t="s">
        <v>190</v>
      </c>
      <c r="E78" s="165"/>
      <c r="F78" s="175">
        <v>1</v>
      </c>
      <c r="G78" s="167"/>
      <c r="H78" s="213"/>
      <c r="I78" s="163"/>
      <c r="J78" s="202">
        <f>F78*H78</f>
        <v>0</v>
      </c>
    </row>
    <row r="79" spans="1:10">
      <c r="A79" s="172"/>
      <c r="B79" s="637"/>
      <c r="C79" s="241"/>
      <c r="D79" s="165"/>
      <c r="E79" s="165"/>
      <c r="F79" s="166"/>
      <c r="G79" s="167"/>
      <c r="H79" s="215"/>
      <c r="I79" s="163"/>
      <c r="J79" s="194"/>
    </row>
    <row r="80" spans="1:10">
      <c r="A80" s="172"/>
      <c r="B80" s="241"/>
      <c r="C80" s="241"/>
      <c r="D80" s="160"/>
      <c r="E80" s="160"/>
      <c r="F80" s="170"/>
      <c r="G80" s="171"/>
      <c r="H80" s="198"/>
      <c r="I80" s="163"/>
      <c r="J80" s="198"/>
    </row>
    <row r="81" spans="1:10" ht="25.5">
      <c r="A81" s="172" t="s">
        <v>68</v>
      </c>
      <c r="B81" s="241" t="s">
        <v>773</v>
      </c>
      <c r="C81" s="241"/>
      <c r="D81" s="165"/>
      <c r="E81" s="165"/>
      <c r="F81" s="166"/>
      <c r="G81" s="167"/>
      <c r="H81" s="198"/>
      <c r="I81" s="163"/>
      <c r="J81" s="198"/>
    </row>
    <row r="82" spans="1:10">
      <c r="A82" s="172"/>
      <c r="B82" s="241"/>
      <c r="C82" s="241"/>
      <c r="D82" s="174" t="s">
        <v>190</v>
      </c>
      <c r="E82" s="165"/>
      <c r="F82" s="175">
        <v>2</v>
      </c>
      <c r="G82" s="167"/>
      <c r="H82" s="213"/>
      <c r="I82" s="163"/>
      <c r="J82" s="202">
        <f>F82*H82</f>
        <v>0</v>
      </c>
    </row>
    <row r="83" spans="1:10">
      <c r="A83" s="172"/>
      <c r="B83" s="241"/>
      <c r="C83" s="241"/>
      <c r="D83" s="160"/>
      <c r="E83" s="160"/>
      <c r="F83" s="170"/>
      <c r="G83" s="171"/>
      <c r="H83" s="198"/>
      <c r="I83" s="163"/>
      <c r="J83" s="198"/>
    </row>
    <row r="84" spans="1:10">
      <c r="A84" s="172"/>
      <c r="B84" s="241"/>
      <c r="C84" s="241"/>
      <c r="D84" s="160"/>
      <c r="E84" s="160"/>
      <c r="F84" s="170"/>
      <c r="G84" s="171"/>
      <c r="H84" s="198"/>
      <c r="I84" s="163"/>
      <c r="J84" s="198"/>
    </row>
    <row r="85" spans="1:10" ht="13.5" thickBot="1">
      <c r="A85" s="243"/>
      <c r="B85" s="244" t="s">
        <v>783</v>
      </c>
      <c r="C85" s="244"/>
      <c r="D85" s="186"/>
      <c r="E85" s="186"/>
      <c r="F85" s="234"/>
      <c r="G85" s="235"/>
      <c r="H85" s="189"/>
      <c r="I85" s="236"/>
      <c r="J85" s="638">
        <f>SUM(J47:J83)</f>
        <v>0</v>
      </c>
    </row>
    <row r="86" spans="1:10" ht="13.5" thickTop="1">
      <c r="A86" s="245"/>
      <c r="B86" s="246"/>
      <c r="C86" s="246"/>
      <c r="D86" s="165"/>
      <c r="E86" s="165"/>
      <c r="F86" s="166"/>
      <c r="G86" s="167"/>
      <c r="H86" s="194"/>
      <c r="I86" s="169"/>
      <c r="J86" s="194"/>
    </row>
    <row r="87" spans="1:10" ht="15.75">
      <c r="A87" s="247" t="s">
        <v>67</v>
      </c>
      <c r="B87" s="248" t="s">
        <v>31</v>
      </c>
      <c r="C87" s="248"/>
      <c r="D87" s="192"/>
      <c r="E87" s="192"/>
      <c r="F87" s="166"/>
      <c r="G87" s="167"/>
      <c r="H87" s="150"/>
      <c r="I87" s="163"/>
      <c r="J87" s="198"/>
    </row>
    <row r="88" spans="1:10">
      <c r="A88" s="172"/>
      <c r="B88" s="249"/>
      <c r="C88" s="249"/>
      <c r="D88" s="250"/>
      <c r="E88" s="250"/>
      <c r="F88" s="170"/>
      <c r="G88" s="171"/>
      <c r="H88" s="150"/>
      <c r="I88" s="163"/>
      <c r="J88" s="198"/>
    </row>
    <row r="89" spans="1:10">
      <c r="A89" s="172" t="s">
        <v>58</v>
      </c>
      <c r="B89" s="173" t="s">
        <v>789</v>
      </c>
      <c r="C89" s="173"/>
      <c r="D89" s="251" t="s">
        <v>190</v>
      </c>
      <c r="E89" s="179"/>
      <c r="F89" s="175">
        <f>F13</f>
        <v>1</v>
      </c>
      <c r="G89" s="167"/>
      <c r="H89" s="213"/>
      <c r="I89" s="163"/>
      <c r="J89" s="202">
        <f>F89*H89</f>
        <v>0</v>
      </c>
    </row>
    <row r="90" spans="1:10">
      <c r="A90" s="172"/>
      <c r="B90" s="173"/>
      <c r="C90" s="173"/>
      <c r="D90" s="179"/>
      <c r="E90" s="179"/>
      <c r="F90" s="170"/>
      <c r="G90" s="171"/>
      <c r="H90" s="150"/>
      <c r="I90" s="163"/>
      <c r="J90" s="198"/>
    </row>
    <row r="91" spans="1:10" ht="13.5" thickBot="1">
      <c r="A91" s="183"/>
      <c r="B91" s="252" t="s">
        <v>36</v>
      </c>
      <c r="C91" s="252"/>
      <c r="D91" s="253"/>
      <c r="E91" s="253"/>
      <c r="F91" s="234"/>
      <c r="G91" s="235"/>
      <c r="H91" s="254"/>
      <c r="I91" s="236"/>
      <c r="J91" s="189">
        <f>SUM(J89:J89)</f>
        <v>0</v>
      </c>
    </row>
    <row r="92" spans="1:10" ht="13.5" thickTop="1">
      <c r="A92" s="190"/>
      <c r="B92" s="255"/>
      <c r="C92" s="255"/>
      <c r="D92" s="256"/>
      <c r="E92" s="256"/>
      <c r="F92" s="166"/>
      <c r="G92" s="167"/>
      <c r="H92" s="168"/>
      <c r="I92" s="169"/>
      <c r="J92" s="194"/>
    </row>
    <row r="93" spans="1:10">
      <c r="A93" s="190"/>
      <c r="B93" s="255"/>
      <c r="C93" s="255"/>
      <c r="D93" s="256"/>
      <c r="E93" s="256"/>
      <c r="F93" s="166"/>
      <c r="G93" s="167"/>
      <c r="H93" s="168"/>
      <c r="I93" s="169"/>
      <c r="J93" s="194"/>
    </row>
    <row r="94" spans="1:10">
      <c r="A94" s="190"/>
      <c r="B94" s="255"/>
      <c r="C94" s="255"/>
      <c r="D94" s="256"/>
      <c r="E94" s="256"/>
      <c r="F94" s="166"/>
      <c r="G94" s="167"/>
      <c r="H94" s="150"/>
      <c r="I94" s="163"/>
      <c r="J94" s="198"/>
    </row>
    <row r="95" spans="1:10">
      <c r="A95" s="190"/>
      <c r="B95" s="255"/>
      <c r="C95" s="255"/>
      <c r="D95" s="256"/>
      <c r="E95" s="256"/>
      <c r="F95" s="166"/>
      <c r="G95" s="167"/>
      <c r="H95" s="150"/>
      <c r="I95" s="163"/>
      <c r="J95" s="198"/>
    </row>
    <row r="96" spans="1:10">
      <c r="A96" s="190"/>
      <c r="B96" s="255"/>
      <c r="C96" s="255"/>
      <c r="D96" s="256"/>
      <c r="E96" s="256"/>
      <c r="F96" s="166"/>
      <c r="G96" s="167"/>
      <c r="H96" s="150"/>
      <c r="I96" s="163"/>
      <c r="J96" s="198"/>
    </row>
    <row r="97" spans="1:10">
      <c r="A97" s="190"/>
      <c r="B97" s="255"/>
      <c r="C97" s="255"/>
      <c r="D97" s="256"/>
      <c r="E97" s="256"/>
      <c r="F97" s="166"/>
      <c r="G97" s="167"/>
      <c r="H97" s="150"/>
      <c r="I97" s="163"/>
      <c r="J97" s="198"/>
    </row>
    <row r="98" spans="1:10">
      <c r="A98" s="190"/>
      <c r="B98" s="255"/>
      <c r="C98" s="255"/>
      <c r="D98" s="256"/>
      <c r="E98" s="256"/>
      <c r="F98" s="166"/>
      <c r="G98" s="167"/>
      <c r="H98" s="150"/>
      <c r="I98" s="163"/>
      <c r="J98" s="198"/>
    </row>
    <row r="99" spans="1:10">
      <c r="A99" s="190"/>
      <c r="B99" s="255"/>
      <c r="C99" s="255"/>
      <c r="D99" s="256"/>
      <c r="E99" s="256"/>
      <c r="F99" s="166"/>
      <c r="G99" s="167"/>
      <c r="H99" s="150"/>
      <c r="I99" s="163"/>
      <c r="J99" s="198"/>
    </row>
    <row r="100" spans="1:10">
      <c r="A100" s="190"/>
      <c r="B100" s="255"/>
      <c r="C100" s="255"/>
      <c r="D100" s="256"/>
      <c r="E100" s="256"/>
      <c r="F100" s="166"/>
      <c r="G100" s="167"/>
      <c r="H100" s="150"/>
      <c r="I100" s="163"/>
      <c r="J100" s="198"/>
    </row>
    <row r="101" spans="1:10">
      <c r="A101" s="172"/>
      <c r="B101" s="258"/>
      <c r="C101" s="258"/>
      <c r="D101" s="257"/>
      <c r="E101" s="257"/>
      <c r="F101" s="170"/>
      <c r="G101" s="171"/>
      <c r="H101" s="150"/>
      <c r="I101" s="163"/>
      <c r="J101" s="198"/>
    </row>
    <row r="102" spans="1:10">
      <c r="B102" s="242"/>
      <c r="C102" s="242"/>
      <c r="D102" s="242"/>
      <c r="E102" s="242"/>
      <c r="F102" s="206"/>
      <c r="G102" s="242"/>
      <c r="H102" s="260"/>
      <c r="I102" s="261"/>
      <c r="J102" s="262"/>
    </row>
    <row r="103" spans="1:10">
      <c r="B103" s="242"/>
      <c r="C103" s="242"/>
      <c r="D103" s="242"/>
      <c r="E103" s="242"/>
      <c r="F103" s="206"/>
      <c r="G103" s="242"/>
      <c r="H103" s="260"/>
      <c r="I103" s="261"/>
      <c r="J103" s="262"/>
    </row>
    <row r="104" spans="1:10">
      <c r="B104" s="242"/>
      <c r="C104" s="242"/>
      <c r="D104" s="242"/>
      <c r="E104" s="242"/>
      <c r="F104" s="206"/>
      <c r="G104" s="242"/>
      <c r="H104" s="260"/>
      <c r="I104" s="261"/>
      <c r="J104" s="262"/>
    </row>
    <row r="105" spans="1:10">
      <c r="B105" s="242"/>
      <c r="C105" s="242"/>
      <c r="D105" s="242"/>
      <c r="E105" s="242"/>
      <c r="F105" s="206"/>
      <c r="G105" s="242"/>
      <c r="H105" s="260"/>
      <c r="I105" s="261"/>
      <c r="J105" s="262"/>
    </row>
    <row r="106" spans="1:10">
      <c r="B106" s="242"/>
      <c r="C106" s="242"/>
      <c r="D106" s="242"/>
      <c r="E106" s="242"/>
      <c r="F106" s="206"/>
      <c r="G106" s="242"/>
      <c r="H106" s="260"/>
      <c r="I106" s="261"/>
      <c r="J106" s="262"/>
    </row>
    <row r="107" spans="1:10">
      <c r="B107" s="242"/>
      <c r="C107" s="242"/>
      <c r="D107" s="242"/>
      <c r="E107" s="242"/>
      <c r="F107" s="206"/>
      <c r="G107" s="242"/>
      <c r="H107" s="260"/>
      <c r="I107" s="261"/>
      <c r="J107" s="262"/>
    </row>
    <row r="108" spans="1:10">
      <c r="B108" s="242"/>
      <c r="C108" s="242"/>
      <c r="D108" s="242"/>
      <c r="E108" s="242"/>
      <c r="F108" s="206"/>
      <c r="G108" s="242"/>
      <c r="H108" s="260"/>
      <c r="I108" s="261"/>
      <c r="J108" s="262"/>
    </row>
    <row r="109" spans="1:10">
      <c r="B109" s="242"/>
      <c r="C109" s="242"/>
      <c r="D109" s="242"/>
      <c r="E109" s="242"/>
      <c r="F109" s="206"/>
      <c r="G109" s="242"/>
      <c r="H109" s="260"/>
      <c r="I109" s="261"/>
      <c r="J109" s="262"/>
    </row>
    <row r="110" spans="1:10">
      <c r="B110" s="242"/>
      <c r="C110" s="242"/>
      <c r="D110" s="242"/>
      <c r="E110" s="242"/>
      <c r="F110" s="206"/>
      <c r="G110" s="242"/>
      <c r="H110" s="260"/>
      <c r="I110" s="261"/>
      <c r="J110" s="262"/>
    </row>
    <row r="111" spans="1:10">
      <c r="B111" s="242"/>
      <c r="C111" s="242"/>
      <c r="D111" s="242"/>
      <c r="E111" s="242"/>
      <c r="F111" s="206"/>
      <c r="G111" s="242"/>
      <c r="H111" s="260"/>
      <c r="I111" s="261"/>
      <c r="J111" s="262"/>
    </row>
    <row r="112" spans="1:10">
      <c r="B112" s="242"/>
      <c r="C112" s="242"/>
      <c r="D112" s="242"/>
      <c r="E112" s="242"/>
      <c r="F112" s="206"/>
      <c r="G112" s="242"/>
      <c r="H112" s="260"/>
      <c r="I112" s="261"/>
      <c r="J112" s="262"/>
    </row>
    <row r="113" spans="2:10">
      <c r="B113" s="242"/>
      <c r="C113" s="242"/>
      <c r="D113" s="242"/>
      <c r="E113" s="242"/>
      <c r="F113" s="206"/>
      <c r="G113" s="242"/>
      <c r="H113" s="260"/>
      <c r="I113" s="261"/>
      <c r="J113" s="262"/>
    </row>
    <row r="114" spans="2:10">
      <c r="B114" s="242"/>
      <c r="C114" s="242"/>
      <c r="D114" s="242"/>
      <c r="E114" s="242"/>
      <c r="F114" s="206"/>
      <c r="G114" s="242"/>
      <c r="H114" s="260"/>
      <c r="I114" s="261"/>
      <c r="J114" s="262"/>
    </row>
    <row r="115" spans="2:10">
      <c r="B115" s="242"/>
      <c r="C115" s="242"/>
      <c r="D115" s="242"/>
      <c r="E115" s="242"/>
      <c r="F115" s="206"/>
      <c r="G115" s="242"/>
      <c r="H115" s="260"/>
      <c r="I115" s="261"/>
      <c r="J115" s="262"/>
    </row>
    <row r="116" spans="2:10">
      <c r="B116" s="242"/>
      <c r="C116" s="242"/>
      <c r="D116" s="242"/>
      <c r="E116" s="242"/>
      <c r="F116" s="206"/>
      <c r="G116" s="242"/>
      <c r="H116" s="260"/>
      <c r="I116" s="261"/>
      <c r="J116" s="262"/>
    </row>
    <row r="117" spans="2:10">
      <c r="B117" s="242"/>
      <c r="C117" s="242"/>
      <c r="D117" s="242"/>
      <c r="E117" s="242"/>
      <c r="F117" s="206"/>
      <c r="G117" s="242"/>
      <c r="H117" s="260"/>
      <c r="I117" s="261"/>
      <c r="J117" s="262"/>
    </row>
    <row r="118" spans="2:10">
      <c r="B118" s="242"/>
      <c r="C118" s="242"/>
      <c r="D118" s="242"/>
      <c r="E118" s="242"/>
      <c r="F118" s="206"/>
      <c r="G118" s="242"/>
      <c r="H118" s="260"/>
      <c r="I118" s="261"/>
      <c r="J118" s="262"/>
    </row>
    <row r="119" spans="2:10">
      <c r="B119" s="242"/>
      <c r="C119" s="242"/>
      <c r="D119" s="242"/>
      <c r="E119" s="242"/>
      <c r="F119" s="206"/>
      <c r="G119" s="242"/>
      <c r="H119" s="260"/>
      <c r="I119" s="261"/>
      <c r="J119" s="262"/>
    </row>
    <row r="120" spans="2:10">
      <c r="B120" s="242"/>
      <c r="C120" s="242"/>
      <c r="D120" s="242"/>
      <c r="E120" s="242"/>
      <c r="F120" s="206"/>
      <c r="G120" s="242"/>
      <c r="H120" s="260"/>
      <c r="I120" s="261"/>
      <c r="J120" s="262"/>
    </row>
    <row r="121" spans="2:10">
      <c r="B121" s="242"/>
      <c r="C121" s="242"/>
      <c r="D121" s="242"/>
      <c r="E121" s="242"/>
      <c r="F121" s="206"/>
      <c r="G121" s="242"/>
      <c r="H121" s="260"/>
      <c r="I121" s="261"/>
      <c r="J121" s="262"/>
    </row>
    <row r="122" spans="2:10">
      <c r="B122" s="242"/>
      <c r="C122" s="242"/>
      <c r="D122" s="242"/>
      <c r="E122" s="242"/>
      <c r="F122" s="206"/>
      <c r="G122" s="242"/>
      <c r="H122" s="260"/>
      <c r="I122" s="261"/>
      <c r="J122" s="262"/>
    </row>
    <row r="123" spans="2:10">
      <c r="B123" s="242"/>
      <c r="C123" s="242"/>
      <c r="D123" s="242"/>
      <c r="E123" s="242"/>
      <c r="F123" s="206"/>
      <c r="G123" s="242"/>
      <c r="H123" s="260"/>
      <c r="I123" s="261"/>
      <c r="J123" s="262"/>
    </row>
    <row r="124" spans="2:10">
      <c r="B124" s="242"/>
      <c r="C124" s="242"/>
      <c r="D124" s="242"/>
      <c r="E124" s="242"/>
      <c r="F124" s="206"/>
      <c r="G124" s="242"/>
      <c r="H124" s="260"/>
      <c r="I124" s="261"/>
      <c r="J124" s="262"/>
    </row>
    <row r="125" spans="2:10">
      <c r="B125" s="242"/>
      <c r="C125" s="242"/>
      <c r="D125" s="242"/>
      <c r="E125" s="242"/>
      <c r="F125" s="206"/>
      <c r="G125" s="242"/>
      <c r="H125" s="260"/>
      <c r="I125" s="261"/>
      <c r="J125" s="262"/>
    </row>
    <row r="126" spans="2:10">
      <c r="B126" s="242"/>
      <c r="C126" s="242"/>
      <c r="D126" s="242"/>
      <c r="E126" s="242"/>
      <c r="F126" s="206"/>
      <c r="G126" s="242"/>
      <c r="H126" s="260"/>
      <c r="I126" s="261"/>
      <c r="J126" s="262"/>
    </row>
    <row r="127" spans="2:10">
      <c r="B127" s="242"/>
      <c r="C127" s="242"/>
      <c r="D127" s="242"/>
      <c r="E127" s="242"/>
      <c r="F127" s="206"/>
      <c r="G127" s="242"/>
      <c r="H127" s="260"/>
      <c r="I127" s="261"/>
      <c r="J127" s="262"/>
    </row>
    <row r="128" spans="2:10">
      <c r="B128" s="242"/>
      <c r="C128" s="242"/>
      <c r="D128" s="242"/>
      <c r="E128" s="242"/>
      <c r="F128" s="206"/>
      <c r="G128" s="242"/>
      <c r="H128" s="260"/>
      <c r="I128" s="261"/>
      <c r="J128" s="262"/>
    </row>
    <row r="129" spans="2:10">
      <c r="B129" s="242"/>
      <c r="C129" s="242"/>
      <c r="D129" s="242"/>
      <c r="E129" s="242"/>
      <c r="F129" s="206"/>
      <c r="G129" s="242"/>
      <c r="H129" s="260"/>
      <c r="I129" s="261"/>
      <c r="J129" s="262"/>
    </row>
    <row r="130" spans="2:10">
      <c r="B130" s="242"/>
      <c r="C130" s="242"/>
      <c r="D130" s="242"/>
      <c r="E130" s="242"/>
      <c r="F130" s="206"/>
      <c r="G130" s="242"/>
      <c r="H130" s="260"/>
      <c r="I130" s="261"/>
      <c r="J130" s="262"/>
    </row>
    <row r="131" spans="2:10">
      <c r="B131" s="242"/>
      <c r="C131" s="242"/>
      <c r="D131" s="242"/>
      <c r="E131" s="242"/>
      <c r="F131" s="206"/>
      <c r="G131" s="242"/>
      <c r="H131" s="260"/>
      <c r="I131" s="261"/>
      <c r="J131" s="262"/>
    </row>
    <row r="132" spans="2:10">
      <c r="B132" s="242"/>
      <c r="C132" s="242"/>
      <c r="D132" s="242"/>
      <c r="E132" s="242"/>
      <c r="F132" s="206"/>
      <c r="G132" s="242"/>
      <c r="H132" s="260"/>
      <c r="I132" s="261"/>
      <c r="J132" s="262"/>
    </row>
    <row r="133" spans="2:10">
      <c r="B133" s="242"/>
      <c r="C133" s="242"/>
      <c r="D133" s="242"/>
      <c r="E133" s="242"/>
      <c r="F133" s="206"/>
      <c r="G133" s="242"/>
      <c r="H133" s="260"/>
      <c r="I133" s="261"/>
      <c r="J133" s="262"/>
    </row>
    <row r="134" spans="2:10">
      <c r="B134" s="242"/>
      <c r="C134" s="242"/>
      <c r="D134" s="242"/>
      <c r="E134" s="242"/>
      <c r="F134" s="206"/>
      <c r="G134" s="242"/>
      <c r="H134" s="260"/>
      <c r="I134" s="261"/>
      <c r="J134" s="262"/>
    </row>
    <row r="135" spans="2:10">
      <c r="B135" s="242"/>
      <c r="C135" s="242"/>
      <c r="D135" s="242"/>
      <c r="E135" s="242"/>
      <c r="F135" s="206"/>
      <c r="G135" s="242"/>
      <c r="H135" s="260"/>
      <c r="I135" s="261"/>
      <c r="J135" s="262"/>
    </row>
    <row r="136" spans="2:10">
      <c r="B136" s="242"/>
      <c r="C136" s="242"/>
      <c r="D136" s="242"/>
      <c r="E136" s="242"/>
      <c r="F136" s="206"/>
      <c r="G136" s="242"/>
      <c r="H136" s="260"/>
      <c r="I136" s="261"/>
      <c r="J136" s="262"/>
    </row>
    <row r="137" spans="2:10">
      <c r="B137" s="242"/>
      <c r="C137" s="242"/>
      <c r="D137" s="242"/>
      <c r="E137" s="242"/>
      <c r="F137" s="206"/>
      <c r="G137" s="242"/>
      <c r="H137" s="260"/>
      <c r="I137" s="261"/>
      <c r="J137" s="262"/>
    </row>
    <row r="138" spans="2:10">
      <c r="B138" s="242"/>
      <c r="C138" s="242"/>
      <c r="D138" s="242"/>
      <c r="E138" s="242"/>
      <c r="F138" s="206"/>
      <c r="G138" s="242"/>
      <c r="H138" s="260"/>
      <c r="I138" s="261"/>
      <c r="J138" s="262"/>
    </row>
    <row r="139" spans="2:10">
      <c r="B139" s="242"/>
      <c r="C139" s="242"/>
      <c r="D139" s="242"/>
      <c r="E139" s="242"/>
      <c r="F139" s="206"/>
      <c r="G139" s="242"/>
      <c r="H139" s="260"/>
      <c r="I139" s="261"/>
      <c r="J139" s="262"/>
    </row>
    <row r="140" spans="2:10">
      <c r="B140" s="242"/>
      <c r="C140" s="242"/>
      <c r="D140" s="242"/>
      <c r="E140" s="242"/>
      <c r="F140" s="206"/>
      <c r="G140" s="242"/>
      <c r="H140" s="260"/>
      <c r="I140" s="261"/>
      <c r="J140" s="262"/>
    </row>
    <row r="141" spans="2:10">
      <c r="D141" s="242"/>
      <c r="E141" s="242"/>
      <c r="F141" s="206"/>
      <c r="G141" s="242"/>
      <c r="H141" s="260"/>
      <c r="I141" s="261"/>
      <c r="J141" s="262"/>
    </row>
    <row r="142" spans="2:10">
      <c r="D142" s="242"/>
      <c r="E142" s="242"/>
      <c r="F142" s="206"/>
      <c r="G142" s="242"/>
      <c r="H142" s="260"/>
      <c r="I142" s="261"/>
      <c r="J142" s="262"/>
    </row>
    <row r="143" spans="2:10">
      <c r="D143" s="242"/>
      <c r="E143" s="242"/>
      <c r="F143" s="206"/>
      <c r="G143" s="242"/>
      <c r="H143" s="260"/>
      <c r="I143" s="261"/>
      <c r="J143" s="262"/>
    </row>
    <row r="144" spans="2:10">
      <c r="D144" s="242"/>
      <c r="E144" s="242"/>
      <c r="F144" s="206"/>
      <c r="G144" s="242"/>
      <c r="H144" s="260"/>
      <c r="I144" s="261"/>
      <c r="J144" s="262"/>
    </row>
    <row r="145" spans="4:10">
      <c r="D145" s="242"/>
      <c r="E145" s="242"/>
      <c r="F145" s="206"/>
      <c r="G145" s="242"/>
      <c r="H145" s="260"/>
      <c r="I145" s="261"/>
      <c r="J145" s="262"/>
    </row>
    <row r="146" spans="4:10">
      <c r="D146" s="242"/>
      <c r="E146" s="242"/>
      <c r="F146" s="206"/>
      <c r="G146" s="242"/>
      <c r="H146" s="260"/>
      <c r="I146" s="261"/>
      <c r="J146" s="262"/>
    </row>
    <row r="147" spans="4:10">
      <c r="D147" s="242"/>
      <c r="E147" s="242"/>
      <c r="F147" s="206"/>
      <c r="G147" s="242"/>
      <c r="H147" s="260"/>
      <c r="I147" s="261"/>
      <c r="J147" s="262"/>
    </row>
    <row r="148" spans="4:10">
      <c r="D148" s="242"/>
      <c r="E148" s="242"/>
      <c r="F148" s="206"/>
      <c r="G148" s="242"/>
      <c r="H148" s="260"/>
      <c r="I148" s="261"/>
      <c r="J148" s="262"/>
    </row>
    <row r="149" spans="4:10">
      <c r="D149" s="242"/>
      <c r="E149" s="242"/>
      <c r="F149" s="206"/>
      <c r="G149" s="242"/>
      <c r="H149" s="260"/>
      <c r="I149" s="261"/>
      <c r="J149" s="262"/>
    </row>
    <row r="150" spans="4:10">
      <c r="D150" s="242"/>
      <c r="E150" s="242"/>
      <c r="F150" s="206"/>
      <c r="G150" s="242"/>
      <c r="H150" s="260"/>
      <c r="I150" s="261"/>
      <c r="J150" s="262"/>
    </row>
    <row r="151" spans="4:10">
      <c r="D151" s="242"/>
      <c r="E151" s="242"/>
      <c r="F151" s="206"/>
      <c r="G151" s="242"/>
      <c r="H151" s="260"/>
      <c r="I151" s="261"/>
      <c r="J151" s="262"/>
    </row>
    <row r="152" spans="4:10">
      <c r="D152" s="242"/>
      <c r="E152" s="242"/>
      <c r="F152" s="206"/>
      <c r="G152" s="242"/>
      <c r="H152" s="260"/>
      <c r="I152" s="261"/>
      <c r="J152" s="262"/>
    </row>
    <row r="153" spans="4:10">
      <c r="D153" s="242"/>
      <c r="E153" s="242"/>
      <c r="F153" s="206"/>
      <c r="G153" s="242"/>
      <c r="H153" s="260"/>
      <c r="I153" s="261"/>
      <c r="J153" s="262"/>
    </row>
    <row r="154" spans="4:10">
      <c r="D154" s="242"/>
      <c r="E154" s="242"/>
      <c r="F154" s="206"/>
      <c r="G154" s="242"/>
      <c r="H154" s="260"/>
      <c r="I154" s="261"/>
      <c r="J154" s="262"/>
    </row>
    <row r="155" spans="4:10">
      <c r="D155" s="242"/>
      <c r="E155" s="242"/>
      <c r="F155" s="206"/>
      <c r="G155" s="242"/>
      <c r="H155" s="260"/>
      <c r="I155" s="261"/>
      <c r="J155" s="262"/>
    </row>
    <row r="156" spans="4:10">
      <c r="D156" s="242"/>
      <c r="E156" s="242"/>
      <c r="F156" s="206"/>
      <c r="G156" s="242"/>
      <c r="H156" s="260"/>
      <c r="I156" s="261"/>
      <c r="J156" s="262"/>
    </row>
    <row r="157" spans="4:10">
      <c r="D157" s="242"/>
      <c r="E157" s="242"/>
      <c r="F157" s="206"/>
      <c r="G157" s="242"/>
      <c r="H157" s="260"/>
      <c r="I157" s="261"/>
      <c r="J157" s="262"/>
    </row>
    <row r="158" spans="4:10">
      <c r="D158" s="242"/>
      <c r="E158" s="242"/>
      <c r="F158" s="206"/>
      <c r="G158" s="242"/>
      <c r="H158" s="260"/>
      <c r="I158" s="261"/>
      <c r="J158" s="262"/>
    </row>
    <row r="159" spans="4:10">
      <c r="D159" s="242"/>
      <c r="E159" s="242"/>
      <c r="F159" s="206"/>
      <c r="G159" s="242"/>
      <c r="H159" s="260"/>
      <c r="I159" s="261"/>
      <c r="J159" s="262"/>
    </row>
    <row r="160" spans="4:10">
      <c r="D160" s="242"/>
      <c r="E160" s="242"/>
      <c r="F160" s="206"/>
      <c r="G160" s="242"/>
      <c r="H160" s="260"/>
      <c r="I160" s="261"/>
      <c r="J160" s="262"/>
    </row>
    <row r="161" spans="4:10">
      <c r="D161" s="242"/>
      <c r="E161" s="242"/>
      <c r="F161" s="206"/>
      <c r="G161" s="242"/>
      <c r="H161" s="260"/>
      <c r="I161" s="261"/>
      <c r="J161" s="262"/>
    </row>
    <row r="162" spans="4:10">
      <c r="D162" s="242"/>
      <c r="E162" s="242"/>
      <c r="F162" s="206"/>
      <c r="G162" s="242"/>
      <c r="H162" s="260"/>
      <c r="I162" s="261"/>
      <c r="J162" s="262"/>
    </row>
    <row r="163" spans="4:10">
      <c r="D163" s="242"/>
      <c r="E163" s="242"/>
      <c r="F163" s="206"/>
      <c r="G163" s="242"/>
      <c r="H163" s="260"/>
      <c r="I163" s="261"/>
      <c r="J163" s="262"/>
    </row>
    <row r="164" spans="4:10">
      <c r="D164" s="242"/>
      <c r="E164" s="242"/>
      <c r="F164" s="206"/>
      <c r="G164" s="242"/>
      <c r="H164" s="260"/>
      <c r="I164" s="261"/>
      <c r="J164" s="262"/>
    </row>
    <row r="165" spans="4:10">
      <c r="D165" s="242"/>
      <c r="E165" s="242"/>
      <c r="F165" s="206"/>
      <c r="G165" s="242"/>
      <c r="H165" s="260"/>
      <c r="I165" s="266"/>
      <c r="J165" s="262"/>
    </row>
    <row r="166" spans="4:10">
      <c r="D166" s="242"/>
      <c r="E166" s="242"/>
      <c r="F166" s="206"/>
      <c r="G166" s="242"/>
      <c r="H166" s="260"/>
      <c r="I166" s="266"/>
      <c r="J166" s="262"/>
    </row>
    <row r="167" spans="4:10">
      <c r="D167" s="242"/>
      <c r="E167" s="242"/>
      <c r="F167" s="206"/>
      <c r="G167" s="242"/>
      <c r="H167" s="260"/>
      <c r="I167" s="266"/>
      <c r="J167" s="262"/>
    </row>
    <row r="168" spans="4:10">
      <c r="D168" s="242"/>
      <c r="E168" s="242"/>
      <c r="F168" s="206"/>
      <c r="G168" s="242"/>
      <c r="H168" s="260"/>
      <c r="I168" s="266"/>
      <c r="J168" s="262"/>
    </row>
    <row r="169" spans="4:10">
      <c r="D169" s="242"/>
      <c r="E169" s="242"/>
      <c r="F169" s="206"/>
      <c r="G169" s="242"/>
      <c r="H169" s="260"/>
      <c r="I169" s="266"/>
      <c r="J169" s="262"/>
    </row>
    <row r="170" spans="4:10">
      <c r="D170" s="242"/>
      <c r="E170" s="242"/>
      <c r="F170" s="206"/>
      <c r="G170" s="242"/>
      <c r="H170" s="260"/>
      <c r="I170" s="266"/>
      <c r="J170" s="262"/>
    </row>
    <row r="171" spans="4:10">
      <c r="D171" s="242"/>
      <c r="E171" s="242"/>
      <c r="F171" s="206"/>
      <c r="G171" s="242"/>
      <c r="H171" s="260"/>
      <c r="I171" s="266"/>
      <c r="J171" s="262"/>
    </row>
    <row r="172" spans="4:10">
      <c r="D172" s="242"/>
      <c r="E172" s="242"/>
      <c r="F172" s="206"/>
      <c r="G172" s="242"/>
      <c r="H172" s="260"/>
      <c r="I172" s="266"/>
      <c r="J172" s="262"/>
    </row>
    <row r="173" spans="4:10">
      <c r="D173" s="242"/>
      <c r="E173" s="242"/>
      <c r="F173" s="206"/>
      <c r="G173" s="242"/>
      <c r="H173" s="260"/>
      <c r="I173" s="266"/>
      <c r="J173" s="262"/>
    </row>
    <row r="174" spans="4:10">
      <c r="D174" s="242"/>
      <c r="E174" s="242"/>
      <c r="F174" s="206"/>
      <c r="G174" s="242"/>
      <c r="H174" s="260"/>
      <c r="I174" s="266"/>
      <c r="J174" s="262"/>
    </row>
    <row r="175" spans="4:10">
      <c r="D175" s="242"/>
      <c r="E175" s="242"/>
      <c r="F175" s="206"/>
      <c r="G175" s="242"/>
      <c r="H175" s="260"/>
      <c r="I175" s="266"/>
      <c r="J175" s="262"/>
    </row>
    <row r="176" spans="4:10">
      <c r="D176" s="242"/>
      <c r="E176" s="242"/>
      <c r="F176" s="206"/>
      <c r="G176" s="242"/>
      <c r="H176" s="260"/>
      <c r="I176" s="266"/>
      <c r="J176" s="262"/>
    </row>
    <row r="177" spans="4:10">
      <c r="D177" s="242"/>
      <c r="E177" s="242"/>
      <c r="F177" s="206"/>
      <c r="G177" s="242"/>
      <c r="H177" s="260"/>
      <c r="I177" s="266"/>
      <c r="J177" s="262"/>
    </row>
    <row r="178" spans="4:10">
      <c r="D178" s="242"/>
      <c r="E178" s="242"/>
      <c r="F178" s="206"/>
      <c r="G178" s="242"/>
      <c r="H178" s="260"/>
      <c r="I178" s="266"/>
      <c r="J178" s="262"/>
    </row>
    <row r="179" spans="4:10">
      <c r="D179" s="242"/>
      <c r="E179" s="242"/>
      <c r="F179" s="206"/>
      <c r="G179" s="242"/>
      <c r="H179" s="260"/>
      <c r="I179" s="266"/>
      <c r="J179" s="262"/>
    </row>
    <row r="180" spans="4:10">
      <c r="D180" s="242"/>
      <c r="E180" s="242"/>
      <c r="F180" s="206"/>
      <c r="G180" s="242"/>
      <c r="H180" s="260"/>
      <c r="I180" s="266"/>
      <c r="J180" s="262"/>
    </row>
    <row r="181" spans="4:10">
      <c r="D181" s="242"/>
      <c r="E181" s="242"/>
      <c r="F181" s="206"/>
      <c r="G181" s="242"/>
      <c r="H181" s="260"/>
      <c r="I181" s="266"/>
      <c r="J181" s="262"/>
    </row>
    <row r="182" spans="4:10">
      <c r="D182" s="242"/>
      <c r="E182" s="242"/>
      <c r="F182" s="206"/>
      <c r="G182" s="242"/>
      <c r="H182" s="260"/>
      <c r="I182" s="266"/>
      <c r="J182" s="262"/>
    </row>
    <row r="183" spans="4:10">
      <c r="D183" s="242"/>
      <c r="E183" s="242"/>
      <c r="F183" s="206"/>
      <c r="G183" s="242"/>
      <c r="H183" s="260"/>
      <c r="I183" s="266"/>
      <c r="J183" s="262"/>
    </row>
    <row r="184" spans="4:10">
      <c r="D184" s="242"/>
      <c r="E184" s="242"/>
      <c r="F184" s="206"/>
      <c r="G184" s="242"/>
      <c r="H184" s="260"/>
      <c r="I184" s="266"/>
      <c r="J184" s="262"/>
    </row>
    <row r="185" spans="4:10">
      <c r="D185" s="242"/>
      <c r="E185" s="242"/>
      <c r="F185" s="206"/>
      <c r="G185" s="242"/>
      <c r="H185" s="260"/>
      <c r="I185" s="266"/>
      <c r="J185" s="262"/>
    </row>
    <row r="186" spans="4:10">
      <c r="D186" s="242"/>
      <c r="E186" s="242"/>
      <c r="F186" s="206"/>
      <c r="G186" s="242"/>
      <c r="H186" s="260"/>
      <c r="I186" s="266"/>
      <c r="J186" s="262"/>
    </row>
    <row r="187" spans="4:10">
      <c r="D187" s="242"/>
      <c r="E187" s="242"/>
      <c r="F187" s="206"/>
      <c r="G187" s="242"/>
      <c r="H187" s="260"/>
      <c r="I187" s="266"/>
      <c r="J187" s="262"/>
    </row>
    <row r="188" spans="4:10">
      <c r="D188" s="242"/>
      <c r="E188" s="242"/>
      <c r="F188" s="206"/>
      <c r="G188" s="242"/>
      <c r="H188" s="260"/>
      <c r="I188" s="266"/>
      <c r="J188" s="262"/>
    </row>
    <row r="189" spans="4:10">
      <c r="D189" s="242"/>
      <c r="E189" s="242"/>
      <c r="F189" s="206"/>
      <c r="G189" s="242"/>
      <c r="H189" s="260"/>
      <c r="I189" s="266"/>
      <c r="J189" s="262"/>
    </row>
    <row r="190" spans="4:10">
      <c r="D190" s="242"/>
      <c r="E190" s="242"/>
      <c r="F190" s="206"/>
      <c r="G190" s="242"/>
      <c r="H190" s="260"/>
      <c r="I190" s="266"/>
      <c r="J190" s="262"/>
    </row>
    <row r="191" spans="4:10">
      <c r="D191" s="242"/>
      <c r="E191" s="242"/>
      <c r="F191" s="206"/>
      <c r="G191" s="242"/>
      <c r="H191" s="260"/>
      <c r="I191" s="266"/>
      <c r="J191" s="262"/>
    </row>
    <row r="192" spans="4:10">
      <c r="D192" s="242"/>
      <c r="E192" s="242"/>
      <c r="F192" s="206"/>
      <c r="G192" s="242"/>
      <c r="H192" s="260"/>
      <c r="I192" s="266"/>
      <c r="J192" s="262"/>
    </row>
    <row r="193" spans="4:10">
      <c r="D193" s="242"/>
      <c r="E193" s="242"/>
      <c r="F193" s="206"/>
      <c r="G193" s="242"/>
      <c r="H193" s="260"/>
      <c r="I193" s="266"/>
      <c r="J193" s="262"/>
    </row>
    <row r="194" spans="4:10">
      <c r="D194" s="242"/>
      <c r="E194" s="242"/>
      <c r="F194" s="206"/>
      <c r="G194" s="242"/>
      <c r="H194" s="260"/>
      <c r="I194" s="266"/>
      <c r="J194" s="262"/>
    </row>
    <row r="195" spans="4:10">
      <c r="D195" s="242"/>
      <c r="E195" s="242"/>
      <c r="F195" s="206"/>
      <c r="G195" s="242"/>
      <c r="H195" s="260"/>
      <c r="I195" s="266"/>
      <c r="J195" s="262"/>
    </row>
    <row r="196" spans="4:10">
      <c r="D196" s="242"/>
      <c r="E196" s="242"/>
      <c r="F196" s="206"/>
      <c r="G196" s="242"/>
      <c r="H196" s="260"/>
      <c r="I196" s="266"/>
      <c r="J196" s="262"/>
    </row>
    <row r="197" spans="4:10">
      <c r="D197" s="242"/>
      <c r="E197" s="242"/>
      <c r="F197" s="206"/>
      <c r="G197" s="242"/>
      <c r="H197" s="260"/>
      <c r="I197" s="266"/>
      <c r="J197" s="262"/>
    </row>
    <row r="198" spans="4:10">
      <c r="D198" s="242"/>
      <c r="E198" s="242"/>
      <c r="F198" s="206"/>
      <c r="G198" s="242"/>
      <c r="H198" s="260"/>
      <c r="I198" s="266"/>
      <c r="J198" s="262"/>
    </row>
    <row r="199" spans="4:10">
      <c r="D199" s="242"/>
      <c r="E199" s="242"/>
      <c r="F199" s="206"/>
      <c r="G199" s="242"/>
      <c r="H199" s="260"/>
      <c r="I199" s="266"/>
      <c r="J199" s="262"/>
    </row>
    <row r="200" spans="4:10">
      <c r="D200" s="242"/>
      <c r="E200" s="242"/>
      <c r="F200" s="206"/>
      <c r="G200" s="242"/>
      <c r="H200" s="260"/>
      <c r="I200" s="266"/>
      <c r="J200" s="262"/>
    </row>
    <row r="201" spans="4:10">
      <c r="D201" s="242"/>
      <c r="E201" s="242"/>
      <c r="F201" s="206"/>
      <c r="G201" s="242"/>
      <c r="H201" s="260"/>
      <c r="I201" s="266"/>
      <c r="J201" s="262"/>
    </row>
    <row r="202" spans="4:10">
      <c r="D202" s="242"/>
      <c r="E202" s="242"/>
      <c r="F202" s="206"/>
      <c r="G202" s="242"/>
      <c r="H202" s="260"/>
      <c r="I202" s="266"/>
      <c r="J202" s="262"/>
    </row>
    <row r="203" spans="4:10">
      <c r="D203" s="242"/>
      <c r="E203" s="242"/>
      <c r="F203" s="206"/>
      <c r="G203" s="242"/>
      <c r="H203" s="260"/>
      <c r="I203" s="266"/>
      <c r="J203" s="262"/>
    </row>
    <row r="204" spans="4:10">
      <c r="D204" s="242"/>
      <c r="E204" s="242"/>
      <c r="F204" s="206"/>
      <c r="G204" s="242"/>
      <c r="H204" s="260"/>
      <c r="I204" s="266"/>
      <c r="J204" s="262"/>
    </row>
    <row r="205" spans="4:10">
      <c r="D205" s="242"/>
      <c r="E205" s="242"/>
      <c r="F205" s="206"/>
      <c r="G205" s="242"/>
      <c r="H205" s="260"/>
      <c r="I205" s="266"/>
      <c r="J205" s="262"/>
    </row>
    <row r="206" spans="4:10">
      <c r="D206" s="242"/>
      <c r="E206" s="242"/>
      <c r="F206" s="206"/>
      <c r="G206" s="242"/>
      <c r="H206" s="260"/>
      <c r="I206" s="266"/>
      <c r="J206" s="262"/>
    </row>
    <row r="207" spans="4:10">
      <c r="D207" s="242"/>
      <c r="E207" s="242"/>
      <c r="F207" s="206"/>
      <c r="G207" s="242"/>
      <c r="H207" s="260"/>
      <c r="I207" s="266"/>
      <c r="J207" s="262"/>
    </row>
    <row r="208" spans="4:10">
      <c r="D208" s="242"/>
      <c r="E208" s="242"/>
      <c r="F208" s="206"/>
      <c r="G208" s="242"/>
      <c r="H208" s="260"/>
      <c r="I208" s="266"/>
      <c r="J208" s="262"/>
    </row>
    <row r="209" spans="4:10">
      <c r="D209" s="242"/>
      <c r="E209" s="242"/>
      <c r="F209" s="206"/>
      <c r="G209" s="242"/>
      <c r="H209" s="260"/>
      <c r="I209" s="266"/>
      <c r="J209" s="262"/>
    </row>
    <row r="210" spans="4:10">
      <c r="D210" s="242"/>
      <c r="E210" s="242"/>
      <c r="F210" s="206"/>
      <c r="G210" s="242"/>
      <c r="H210" s="260"/>
      <c r="I210" s="266"/>
      <c r="J210" s="206"/>
    </row>
    <row r="211" spans="4:10">
      <c r="D211" s="242"/>
      <c r="E211" s="242"/>
      <c r="F211" s="206"/>
      <c r="G211" s="242"/>
      <c r="H211" s="260"/>
      <c r="I211" s="266"/>
      <c r="J211" s="206"/>
    </row>
    <row r="212" spans="4:10">
      <c r="D212" s="242"/>
      <c r="E212" s="242"/>
      <c r="F212" s="206"/>
      <c r="G212" s="242"/>
      <c r="H212" s="260"/>
      <c r="I212" s="266"/>
      <c r="J212" s="206"/>
    </row>
    <row r="213" spans="4:10">
      <c r="D213" s="242"/>
      <c r="E213" s="242"/>
      <c r="F213" s="206"/>
      <c r="G213" s="242"/>
      <c r="H213" s="260"/>
      <c r="I213" s="266"/>
      <c r="J213" s="206"/>
    </row>
    <row r="214" spans="4:10">
      <c r="D214" s="242"/>
      <c r="E214" s="242"/>
      <c r="F214" s="206"/>
      <c r="G214" s="242"/>
      <c r="H214" s="260"/>
      <c r="I214" s="266"/>
      <c r="J214" s="206"/>
    </row>
    <row r="215" spans="4:10">
      <c r="D215" s="242"/>
      <c r="E215" s="242"/>
      <c r="F215" s="206"/>
      <c r="G215" s="242"/>
      <c r="H215" s="260"/>
      <c r="I215" s="266"/>
      <c r="J215" s="206"/>
    </row>
    <row r="216" spans="4:10">
      <c r="D216" s="242"/>
      <c r="E216" s="242"/>
      <c r="F216" s="206"/>
      <c r="G216" s="242"/>
      <c r="H216" s="260"/>
      <c r="I216" s="266"/>
      <c r="J216" s="206"/>
    </row>
    <row r="217" spans="4:10">
      <c r="D217" s="242"/>
      <c r="E217" s="242"/>
      <c r="F217" s="206"/>
      <c r="G217" s="242"/>
      <c r="H217" s="260"/>
      <c r="I217" s="266"/>
      <c r="J217" s="206"/>
    </row>
    <row r="218" spans="4:10">
      <c r="D218" s="242"/>
      <c r="E218" s="242"/>
      <c r="F218" s="206"/>
      <c r="G218" s="242"/>
      <c r="H218" s="260"/>
      <c r="I218" s="266"/>
      <c r="J218" s="206"/>
    </row>
    <row r="219" spans="4:10">
      <c r="D219" s="242"/>
      <c r="E219" s="242"/>
      <c r="F219" s="206"/>
      <c r="G219" s="242"/>
      <c r="H219" s="260"/>
      <c r="I219" s="266"/>
      <c r="J219" s="206"/>
    </row>
    <row r="220" spans="4:10">
      <c r="D220" s="242"/>
      <c r="E220" s="242"/>
      <c r="F220" s="206"/>
      <c r="G220" s="242"/>
      <c r="H220" s="260"/>
      <c r="I220" s="266"/>
      <c r="J220" s="206"/>
    </row>
    <row r="221" spans="4:10">
      <c r="D221" s="242"/>
      <c r="E221" s="242"/>
      <c r="F221" s="206"/>
      <c r="G221" s="242"/>
      <c r="H221" s="260"/>
      <c r="I221" s="266"/>
      <c r="J221" s="206"/>
    </row>
    <row r="222" spans="4:10">
      <c r="D222" s="242"/>
      <c r="E222" s="242"/>
      <c r="F222" s="206"/>
      <c r="G222" s="242"/>
      <c r="H222" s="260"/>
      <c r="I222" s="266"/>
      <c r="J222" s="206"/>
    </row>
    <row r="223" spans="4:10">
      <c r="D223" s="242"/>
      <c r="E223" s="242"/>
      <c r="F223" s="206"/>
      <c r="G223" s="242"/>
      <c r="H223" s="260"/>
      <c r="I223" s="266"/>
      <c r="J223" s="206"/>
    </row>
    <row r="224" spans="4:10">
      <c r="D224" s="242"/>
      <c r="E224" s="242"/>
      <c r="F224" s="206"/>
      <c r="G224" s="242"/>
      <c r="H224" s="260"/>
      <c r="I224" s="266"/>
      <c r="J224" s="206"/>
    </row>
    <row r="225" spans="4:10">
      <c r="D225" s="242"/>
      <c r="E225" s="242"/>
      <c r="F225" s="206"/>
      <c r="G225" s="242"/>
      <c r="H225" s="260"/>
      <c r="I225" s="266"/>
      <c r="J225" s="206"/>
    </row>
    <row r="226" spans="4:10">
      <c r="D226" s="242"/>
      <c r="E226" s="242"/>
      <c r="F226" s="206"/>
      <c r="G226" s="242"/>
      <c r="H226" s="260"/>
      <c r="I226" s="266"/>
      <c r="J226" s="206"/>
    </row>
    <row r="227" spans="4:10">
      <c r="D227" s="242"/>
      <c r="E227" s="242"/>
      <c r="F227" s="206"/>
      <c r="G227" s="242"/>
      <c r="H227" s="260"/>
      <c r="I227" s="266"/>
      <c r="J227" s="206"/>
    </row>
    <row r="228" spans="4:10">
      <c r="D228" s="242"/>
      <c r="E228" s="242"/>
      <c r="F228" s="206"/>
      <c r="G228" s="242"/>
      <c r="H228" s="260"/>
      <c r="I228" s="266"/>
      <c r="J228" s="206"/>
    </row>
    <row r="229" spans="4:10">
      <c r="D229" s="242"/>
      <c r="E229" s="242"/>
      <c r="F229" s="206"/>
      <c r="G229" s="242"/>
      <c r="H229" s="260"/>
      <c r="I229" s="266"/>
      <c r="J229" s="206"/>
    </row>
    <row r="230" spans="4:10">
      <c r="D230" s="242"/>
      <c r="E230" s="242"/>
      <c r="F230" s="206"/>
      <c r="G230" s="242"/>
      <c r="H230" s="260"/>
      <c r="I230" s="266"/>
      <c r="J230" s="206"/>
    </row>
    <row r="231" spans="4:10">
      <c r="D231" s="242"/>
      <c r="E231" s="242"/>
      <c r="F231" s="206"/>
      <c r="G231" s="242"/>
      <c r="H231" s="260"/>
      <c r="I231" s="266"/>
      <c r="J231" s="206"/>
    </row>
    <row r="232" spans="4:10">
      <c r="D232" s="242"/>
      <c r="E232" s="242"/>
      <c r="F232" s="206"/>
      <c r="G232" s="242"/>
      <c r="H232" s="260"/>
      <c r="I232" s="266"/>
      <c r="J232" s="206"/>
    </row>
    <row r="233" spans="4:10">
      <c r="D233" s="242"/>
      <c r="E233" s="242"/>
      <c r="F233" s="206"/>
      <c r="G233" s="242"/>
      <c r="H233" s="260"/>
      <c r="I233" s="266"/>
      <c r="J233" s="206"/>
    </row>
    <row r="234" spans="4:10">
      <c r="D234" s="242"/>
      <c r="E234" s="242"/>
      <c r="F234" s="206"/>
      <c r="G234" s="242"/>
      <c r="H234" s="260"/>
      <c r="I234" s="266"/>
      <c r="J234" s="206"/>
    </row>
    <row r="235" spans="4:10">
      <c r="D235" s="242"/>
      <c r="E235" s="242"/>
      <c r="F235" s="206"/>
      <c r="G235" s="242"/>
      <c r="H235" s="260"/>
      <c r="I235" s="266"/>
      <c r="J235" s="206"/>
    </row>
    <row r="236" spans="4:10">
      <c r="D236" s="242"/>
      <c r="E236" s="242"/>
      <c r="F236" s="206"/>
      <c r="G236" s="242"/>
      <c r="H236" s="260"/>
      <c r="I236" s="266"/>
      <c r="J236" s="206"/>
    </row>
    <row r="237" spans="4:10">
      <c r="D237" s="242"/>
      <c r="E237" s="242"/>
      <c r="F237" s="206"/>
      <c r="G237" s="242"/>
      <c r="H237" s="260"/>
      <c r="I237" s="266"/>
      <c r="J237" s="206"/>
    </row>
    <row r="238" spans="4:10">
      <c r="D238" s="242"/>
      <c r="E238" s="242"/>
      <c r="F238" s="206"/>
      <c r="G238" s="242"/>
      <c r="H238" s="260"/>
      <c r="I238" s="266"/>
      <c r="J238" s="206"/>
    </row>
    <row r="239" spans="4:10">
      <c r="D239" s="242"/>
      <c r="E239" s="242"/>
      <c r="F239" s="206"/>
      <c r="G239" s="242"/>
      <c r="H239" s="260"/>
      <c r="I239" s="266"/>
      <c r="J239" s="206"/>
    </row>
    <row r="240" spans="4:10">
      <c r="D240" s="242"/>
      <c r="E240" s="242"/>
      <c r="F240" s="206"/>
      <c r="G240" s="242"/>
      <c r="H240" s="260"/>
      <c r="I240" s="266"/>
      <c r="J240" s="206"/>
    </row>
    <row r="241" spans="4:10">
      <c r="D241" s="242"/>
      <c r="E241" s="242"/>
      <c r="F241" s="206"/>
      <c r="G241" s="242"/>
      <c r="H241" s="260"/>
      <c r="I241" s="266"/>
      <c r="J241" s="206"/>
    </row>
    <row r="242" spans="4:10">
      <c r="D242" s="242"/>
      <c r="E242" s="242"/>
      <c r="F242" s="206"/>
      <c r="G242" s="242"/>
      <c r="H242" s="260"/>
      <c r="I242" s="266"/>
      <c r="J242" s="206"/>
    </row>
    <row r="243" spans="4:10">
      <c r="D243" s="242"/>
      <c r="E243" s="242"/>
      <c r="F243" s="206"/>
      <c r="G243" s="242"/>
      <c r="H243" s="260"/>
      <c r="I243" s="266"/>
      <c r="J243" s="206"/>
    </row>
    <row r="244" spans="4:10">
      <c r="D244" s="242"/>
      <c r="E244" s="242"/>
      <c r="F244" s="206"/>
      <c r="G244" s="242"/>
      <c r="H244" s="260"/>
      <c r="I244" s="266"/>
      <c r="J244" s="206"/>
    </row>
    <row r="245" spans="4:10">
      <c r="D245" s="242"/>
      <c r="E245" s="242"/>
      <c r="F245" s="206"/>
      <c r="G245" s="242"/>
      <c r="H245" s="260"/>
      <c r="I245" s="266"/>
      <c r="J245" s="206"/>
    </row>
    <row r="246" spans="4:10">
      <c r="D246" s="242"/>
      <c r="E246" s="242"/>
      <c r="F246" s="206"/>
      <c r="G246" s="242"/>
      <c r="H246" s="260"/>
      <c r="I246" s="266"/>
      <c r="J246" s="206"/>
    </row>
    <row r="247" spans="4:10">
      <c r="D247" s="242"/>
      <c r="E247" s="242"/>
      <c r="F247" s="206"/>
      <c r="G247" s="242"/>
      <c r="H247" s="260"/>
      <c r="I247" s="266"/>
      <c r="J247" s="206"/>
    </row>
    <row r="248" spans="4:10">
      <c r="D248" s="242"/>
      <c r="E248" s="242"/>
      <c r="F248" s="206"/>
      <c r="G248" s="242"/>
      <c r="H248" s="260"/>
      <c r="I248" s="266"/>
      <c r="J248" s="206"/>
    </row>
    <row r="249" spans="4:10">
      <c r="D249" s="242"/>
      <c r="E249" s="242"/>
      <c r="F249" s="206"/>
      <c r="G249" s="242"/>
      <c r="H249" s="260"/>
      <c r="I249" s="266"/>
      <c r="J249" s="206"/>
    </row>
    <row r="250" spans="4:10">
      <c r="D250" s="242"/>
      <c r="E250" s="242"/>
      <c r="F250" s="206"/>
      <c r="G250" s="242"/>
      <c r="H250" s="260"/>
      <c r="I250" s="266"/>
      <c r="J250" s="206"/>
    </row>
    <row r="251" spans="4:10">
      <c r="D251" s="242"/>
      <c r="E251" s="242"/>
      <c r="F251" s="206"/>
      <c r="G251" s="242"/>
      <c r="H251" s="260"/>
      <c r="I251" s="266"/>
      <c r="J251" s="206"/>
    </row>
    <row r="252" spans="4:10">
      <c r="D252" s="242"/>
      <c r="E252" s="242"/>
      <c r="F252" s="206"/>
      <c r="G252" s="242"/>
      <c r="H252" s="260"/>
      <c r="I252" s="266"/>
      <c r="J252" s="206"/>
    </row>
    <row r="253" spans="4:10">
      <c r="D253" s="242"/>
      <c r="E253" s="242"/>
      <c r="F253" s="206"/>
      <c r="G253" s="242"/>
      <c r="H253" s="260"/>
      <c r="I253" s="266"/>
      <c r="J253" s="206"/>
    </row>
    <row r="254" spans="4:10">
      <c r="D254" s="242"/>
      <c r="E254" s="242"/>
      <c r="F254" s="206"/>
      <c r="G254" s="242"/>
      <c r="H254" s="260"/>
      <c r="I254" s="266"/>
      <c r="J254" s="206"/>
    </row>
    <row r="255" spans="4:10">
      <c r="D255" s="242"/>
      <c r="E255" s="242"/>
      <c r="F255" s="206"/>
      <c r="G255" s="242"/>
      <c r="H255" s="260"/>
      <c r="I255" s="266"/>
      <c r="J255" s="206"/>
    </row>
    <row r="256" spans="4:10">
      <c r="D256" s="242"/>
      <c r="E256" s="242"/>
      <c r="F256" s="206"/>
      <c r="G256" s="242"/>
      <c r="H256" s="260"/>
      <c r="I256" s="266"/>
      <c r="J256" s="206"/>
    </row>
    <row r="257" spans="4:10">
      <c r="D257" s="242"/>
      <c r="E257" s="242"/>
      <c r="F257" s="206"/>
      <c r="G257" s="242"/>
      <c r="H257" s="260"/>
      <c r="I257" s="266"/>
      <c r="J257" s="206"/>
    </row>
    <row r="258" spans="4:10">
      <c r="D258" s="242"/>
      <c r="E258" s="242"/>
      <c r="F258" s="206"/>
      <c r="G258" s="242"/>
      <c r="H258" s="260"/>
      <c r="I258" s="266"/>
      <c r="J258" s="206"/>
    </row>
    <row r="259" spans="4:10">
      <c r="D259" s="242"/>
      <c r="E259" s="242"/>
      <c r="F259" s="206"/>
      <c r="G259" s="242"/>
      <c r="H259" s="260"/>
      <c r="I259" s="266"/>
      <c r="J259" s="206"/>
    </row>
    <row r="260" spans="4:10">
      <c r="D260" s="242"/>
      <c r="E260" s="242"/>
      <c r="F260" s="206"/>
      <c r="G260" s="242"/>
      <c r="H260" s="260"/>
      <c r="I260" s="266"/>
      <c r="J260" s="206"/>
    </row>
    <row r="261" spans="4:10">
      <c r="D261" s="242"/>
      <c r="E261" s="242"/>
      <c r="F261" s="206"/>
      <c r="G261" s="242"/>
      <c r="H261" s="260"/>
      <c r="I261" s="266"/>
      <c r="J261" s="206"/>
    </row>
    <row r="262" spans="4:10">
      <c r="D262" s="242"/>
      <c r="E262" s="242"/>
      <c r="F262" s="206"/>
      <c r="G262" s="242"/>
      <c r="H262" s="260"/>
      <c r="I262" s="266"/>
      <c r="J262" s="206"/>
    </row>
    <row r="263" spans="4:10">
      <c r="D263" s="242"/>
      <c r="E263" s="242"/>
      <c r="F263" s="206"/>
      <c r="G263" s="242"/>
      <c r="H263" s="260"/>
      <c r="I263" s="266"/>
      <c r="J263" s="206"/>
    </row>
    <row r="264" spans="4:10">
      <c r="D264" s="242"/>
      <c r="E264" s="242"/>
      <c r="F264" s="206"/>
      <c r="G264" s="242"/>
      <c r="H264" s="260"/>
      <c r="I264" s="266"/>
      <c r="J264" s="206"/>
    </row>
    <row r="265" spans="4:10">
      <c r="D265" s="242"/>
      <c r="E265" s="242"/>
      <c r="F265" s="206"/>
      <c r="G265" s="242"/>
      <c r="H265" s="260"/>
      <c r="I265" s="266"/>
      <c r="J265" s="206"/>
    </row>
    <row r="266" spans="4:10">
      <c r="D266" s="242"/>
      <c r="E266" s="242"/>
      <c r="F266" s="206"/>
      <c r="G266" s="242"/>
      <c r="H266" s="260"/>
      <c r="I266" s="266"/>
      <c r="J266" s="206"/>
    </row>
    <row r="267" spans="4:10">
      <c r="D267" s="242"/>
      <c r="E267" s="242"/>
      <c r="F267" s="206"/>
      <c r="G267" s="242"/>
      <c r="H267" s="260"/>
      <c r="I267" s="266"/>
      <c r="J267" s="206"/>
    </row>
    <row r="268" spans="4:10">
      <c r="D268" s="242"/>
      <c r="E268" s="242"/>
      <c r="F268" s="206"/>
      <c r="G268" s="242"/>
      <c r="H268" s="260"/>
      <c r="I268" s="266"/>
      <c r="J268" s="206"/>
    </row>
    <row r="269" spans="4:10">
      <c r="D269" s="242"/>
      <c r="E269" s="242"/>
      <c r="F269" s="206"/>
      <c r="G269" s="242"/>
      <c r="H269" s="260"/>
      <c r="I269" s="266"/>
      <c r="J269" s="206"/>
    </row>
    <row r="270" spans="4:10">
      <c r="D270" s="242"/>
      <c r="E270" s="242"/>
      <c r="F270" s="206"/>
      <c r="G270" s="242"/>
      <c r="H270" s="260"/>
      <c r="I270" s="266"/>
      <c r="J270" s="206"/>
    </row>
    <row r="271" spans="4:10">
      <c r="D271" s="242"/>
      <c r="E271" s="242"/>
      <c r="F271" s="206"/>
      <c r="G271" s="242"/>
      <c r="H271" s="260"/>
      <c r="I271" s="266"/>
      <c r="J271" s="206"/>
    </row>
    <row r="272" spans="4:10">
      <c r="D272" s="242"/>
      <c r="E272" s="242"/>
      <c r="F272" s="206"/>
      <c r="G272" s="242"/>
      <c r="H272" s="260"/>
      <c r="I272" s="266"/>
      <c r="J272" s="206"/>
    </row>
    <row r="273" spans="4:10">
      <c r="D273" s="242"/>
      <c r="E273" s="242"/>
      <c r="F273" s="206"/>
      <c r="G273" s="242"/>
      <c r="H273" s="260"/>
      <c r="I273" s="266"/>
      <c r="J273" s="206"/>
    </row>
    <row r="274" spans="4:10">
      <c r="D274" s="242"/>
      <c r="E274" s="242"/>
      <c r="F274" s="206"/>
      <c r="G274" s="242"/>
      <c r="H274" s="260"/>
      <c r="I274" s="266"/>
      <c r="J274" s="206"/>
    </row>
    <row r="275" spans="4:10">
      <c r="D275" s="242"/>
      <c r="E275" s="242"/>
      <c r="F275" s="206"/>
      <c r="G275" s="242"/>
      <c r="H275" s="260"/>
      <c r="I275" s="266"/>
      <c r="J275" s="206"/>
    </row>
    <row r="276" spans="4:10">
      <c r="D276" s="242"/>
      <c r="E276" s="242"/>
      <c r="F276" s="206"/>
      <c r="G276" s="242"/>
      <c r="H276" s="260"/>
      <c r="I276" s="266"/>
      <c r="J276" s="206"/>
    </row>
    <row r="277" spans="4:10">
      <c r="D277" s="242"/>
      <c r="E277" s="242"/>
      <c r="F277" s="206"/>
      <c r="G277" s="242"/>
      <c r="H277" s="260"/>
      <c r="I277" s="266"/>
      <c r="J277" s="206"/>
    </row>
    <row r="278" spans="4:10">
      <c r="D278" s="242"/>
      <c r="E278" s="242"/>
      <c r="F278" s="206"/>
      <c r="G278" s="242"/>
      <c r="H278" s="260"/>
      <c r="I278" s="266"/>
      <c r="J278" s="206"/>
    </row>
    <row r="279" spans="4:10">
      <c r="D279" s="242"/>
      <c r="E279" s="242"/>
      <c r="F279" s="206"/>
      <c r="G279" s="242"/>
      <c r="H279" s="260"/>
      <c r="I279" s="266"/>
      <c r="J279" s="206"/>
    </row>
    <row r="280" spans="4:10">
      <c r="D280" s="242"/>
      <c r="E280" s="242"/>
      <c r="F280" s="206"/>
      <c r="G280" s="242"/>
      <c r="H280" s="206"/>
      <c r="I280" s="266"/>
      <c r="J280" s="206"/>
    </row>
    <row r="281" spans="4:10">
      <c r="D281" s="242"/>
      <c r="E281" s="242"/>
      <c r="F281" s="206"/>
      <c r="G281" s="242"/>
      <c r="H281" s="206"/>
      <c r="I281" s="266"/>
      <c r="J281" s="206"/>
    </row>
    <row r="282" spans="4:10">
      <c r="D282" s="242"/>
      <c r="E282" s="242"/>
      <c r="F282" s="206"/>
      <c r="G282" s="242"/>
      <c r="H282" s="206"/>
      <c r="I282" s="266"/>
      <c r="J282" s="206"/>
    </row>
    <row r="283" spans="4:10">
      <c r="D283" s="242"/>
      <c r="E283" s="242"/>
      <c r="F283" s="206"/>
      <c r="G283" s="242"/>
      <c r="H283" s="206"/>
      <c r="I283" s="266"/>
      <c r="J283" s="206"/>
    </row>
    <row r="284" spans="4:10">
      <c r="D284" s="242"/>
      <c r="E284" s="242"/>
      <c r="F284" s="206"/>
      <c r="G284" s="242"/>
      <c r="H284" s="206"/>
      <c r="I284" s="266"/>
      <c r="J284" s="206"/>
    </row>
    <row r="285" spans="4:10">
      <c r="D285" s="242"/>
      <c r="E285" s="242"/>
      <c r="F285" s="206"/>
      <c r="G285" s="242"/>
      <c r="H285" s="206"/>
      <c r="I285" s="266"/>
      <c r="J285" s="206"/>
    </row>
    <row r="286" spans="4:10">
      <c r="D286" s="242"/>
      <c r="E286" s="242"/>
      <c r="F286" s="206"/>
      <c r="G286" s="242"/>
      <c r="H286" s="206"/>
      <c r="I286" s="266"/>
      <c r="J286" s="206"/>
    </row>
    <row r="287" spans="4:10">
      <c r="D287" s="242"/>
      <c r="E287" s="242"/>
      <c r="F287" s="206"/>
      <c r="G287" s="242"/>
      <c r="H287" s="206"/>
      <c r="I287" s="266"/>
      <c r="J287" s="206"/>
    </row>
    <row r="288" spans="4:10">
      <c r="D288" s="242"/>
      <c r="E288" s="242"/>
      <c r="F288" s="206"/>
      <c r="G288" s="242"/>
      <c r="H288" s="206"/>
      <c r="I288" s="266"/>
      <c r="J288" s="206"/>
    </row>
    <row r="289" spans="4:10">
      <c r="D289" s="242"/>
      <c r="E289" s="242"/>
      <c r="F289" s="206"/>
      <c r="G289" s="242"/>
      <c r="H289" s="206"/>
      <c r="I289" s="266"/>
      <c r="J289" s="206"/>
    </row>
    <row r="290" spans="4:10">
      <c r="D290" s="242"/>
      <c r="E290" s="242"/>
      <c r="F290" s="206"/>
      <c r="G290" s="242"/>
      <c r="H290" s="206"/>
      <c r="I290" s="266"/>
      <c r="J290" s="206"/>
    </row>
    <row r="291" spans="4:10">
      <c r="D291" s="242"/>
      <c r="E291" s="242"/>
      <c r="F291" s="206"/>
      <c r="G291" s="242"/>
      <c r="H291" s="206"/>
      <c r="I291" s="266"/>
      <c r="J291" s="206"/>
    </row>
    <row r="292" spans="4:10">
      <c r="D292" s="242"/>
      <c r="E292" s="242"/>
      <c r="F292" s="206"/>
      <c r="G292" s="242"/>
      <c r="H292" s="206"/>
      <c r="I292" s="266"/>
      <c r="J292" s="206"/>
    </row>
    <row r="293" spans="4:10">
      <c r="D293" s="242"/>
      <c r="E293" s="242"/>
      <c r="F293" s="206"/>
      <c r="G293" s="242"/>
      <c r="H293" s="206"/>
      <c r="I293" s="266"/>
      <c r="J293" s="206"/>
    </row>
    <row r="294" spans="4:10">
      <c r="D294" s="242"/>
      <c r="E294" s="242"/>
      <c r="F294" s="206"/>
      <c r="G294" s="242"/>
      <c r="H294" s="206"/>
      <c r="I294" s="266"/>
      <c r="J294" s="206"/>
    </row>
    <row r="295" spans="4:10">
      <c r="D295" s="242"/>
      <c r="E295" s="242"/>
      <c r="F295" s="206"/>
      <c r="G295" s="242"/>
      <c r="H295" s="206"/>
      <c r="I295" s="266"/>
      <c r="J295" s="206"/>
    </row>
    <row r="296" spans="4:10">
      <c r="D296" s="242"/>
      <c r="E296" s="242"/>
      <c r="F296" s="206"/>
      <c r="G296" s="242"/>
      <c r="H296" s="206"/>
      <c r="I296" s="266"/>
      <c r="J296" s="206"/>
    </row>
    <row r="297" spans="4:10">
      <c r="D297" s="242"/>
      <c r="E297" s="242"/>
      <c r="F297" s="206"/>
      <c r="G297" s="242"/>
      <c r="H297" s="206"/>
      <c r="I297" s="266"/>
      <c r="J297" s="206"/>
    </row>
    <row r="298" spans="4:10">
      <c r="D298" s="242"/>
      <c r="E298" s="242"/>
      <c r="F298" s="206"/>
      <c r="G298" s="242"/>
      <c r="H298" s="206"/>
      <c r="I298" s="266"/>
      <c r="J298" s="206"/>
    </row>
    <row r="299" spans="4:10">
      <c r="D299" s="242"/>
      <c r="E299" s="242"/>
      <c r="F299" s="206"/>
      <c r="G299" s="242"/>
      <c r="H299" s="206"/>
      <c r="I299" s="266"/>
      <c r="J299" s="206"/>
    </row>
    <row r="300" spans="4:10">
      <c r="D300" s="242"/>
      <c r="E300" s="242"/>
      <c r="F300" s="206"/>
      <c r="G300" s="242"/>
      <c r="H300" s="206"/>
      <c r="I300" s="266"/>
      <c r="J300" s="206"/>
    </row>
    <row r="301" spans="4:10">
      <c r="D301" s="242"/>
      <c r="E301" s="242"/>
      <c r="F301" s="206"/>
      <c r="G301" s="242"/>
      <c r="H301" s="206"/>
      <c r="I301" s="266"/>
      <c r="J301" s="206"/>
    </row>
    <row r="302" spans="4:10">
      <c r="D302" s="242"/>
      <c r="E302" s="242"/>
      <c r="F302" s="206"/>
      <c r="G302" s="242"/>
      <c r="H302" s="206"/>
      <c r="I302" s="266"/>
      <c r="J302" s="206"/>
    </row>
    <row r="303" spans="4:10">
      <c r="D303" s="242"/>
      <c r="E303" s="242"/>
      <c r="F303" s="206"/>
      <c r="G303" s="242"/>
      <c r="H303" s="206"/>
      <c r="I303" s="266"/>
      <c r="J303" s="206"/>
    </row>
    <row r="304" spans="4:10">
      <c r="I304" s="267"/>
    </row>
    <row r="305" spans="9:9">
      <c r="I305" s="267"/>
    </row>
    <row r="306" spans="9:9">
      <c r="I306" s="267"/>
    </row>
    <row r="307" spans="9:9">
      <c r="I307" s="267"/>
    </row>
    <row r="308" spans="9:9">
      <c r="I308" s="267"/>
    </row>
    <row r="309" spans="9:9">
      <c r="I309" s="267"/>
    </row>
    <row r="310" spans="9:9">
      <c r="I310" s="267"/>
    </row>
    <row r="311" spans="9:9">
      <c r="I311" s="267"/>
    </row>
  </sheetData>
  <pageMargins left="0.7" right="0.7" top="0.75" bottom="0.75" header="0.3" footer="0.3"/>
  <pageSetup paperSize="9" scale="89" orientation="portrait" r:id="rId1"/>
  <rowBreaks count="3" manualBreakCount="3">
    <brk id="9" max="16383" man="1"/>
    <brk id="44" max="9" man="1"/>
    <brk id="74" max="9"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
  <sheetViews>
    <sheetView view="pageBreakPreview" zoomScale="160" zoomScaleNormal="160" zoomScaleSheetLayoutView="160" workbookViewId="0">
      <selection activeCell="F1" sqref="F1"/>
    </sheetView>
  </sheetViews>
  <sheetFormatPr defaultRowHeight="12.75"/>
  <cols>
    <col min="1" max="1" width="5" customWidth="1"/>
    <col min="2" max="2" width="36.7109375" customWidth="1"/>
    <col min="3" max="3" width="4.5703125" style="105" customWidth="1"/>
    <col min="4" max="4" width="8.42578125" style="623" customWidth="1"/>
    <col min="5" max="5" width="16.42578125" customWidth="1"/>
    <col min="6" max="6" width="17.5703125" customWidth="1"/>
  </cols>
  <sheetData>
    <row r="1" spans="1:6">
      <c r="A1" s="97" t="s">
        <v>164</v>
      </c>
      <c r="B1" s="92"/>
      <c r="C1" s="616"/>
      <c r="D1" s="620"/>
      <c r="E1" s="14"/>
      <c r="F1" s="14">
        <f>F2</f>
        <v>0</v>
      </c>
    </row>
    <row r="2" spans="1:6">
      <c r="A2" s="611" t="s">
        <v>99</v>
      </c>
      <c r="B2" s="612"/>
      <c r="C2" s="617"/>
      <c r="D2" s="621"/>
      <c r="E2" s="613"/>
      <c r="F2" s="613">
        <f>SUM(F3:F6)</f>
        <v>0</v>
      </c>
    </row>
    <row r="3" spans="1:6" ht="25.5">
      <c r="A3" s="610" t="s">
        <v>58</v>
      </c>
      <c r="B3" s="609" t="s">
        <v>836</v>
      </c>
      <c r="C3" s="618" t="s">
        <v>100</v>
      </c>
      <c r="D3" s="721">
        <v>15</v>
      </c>
      <c r="E3" s="722"/>
      <c r="F3" s="624">
        <f t="shared" ref="F3:F6" si="0">D3*E3</f>
        <v>0</v>
      </c>
    </row>
    <row r="4" spans="1:6" ht="38.25">
      <c r="A4" s="610" t="s">
        <v>61</v>
      </c>
      <c r="B4" s="609" t="s">
        <v>746</v>
      </c>
      <c r="C4" s="618" t="s">
        <v>190</v>
      </c>
      <c r="D4" s="721">
        <v>1</v>
      </c>
      <c r="E4" s="722"/>
      <c r="F4" s="624">
        <f t="shared" si="0"/>
        <v>0</v>
      </c>
    </row>
    <row r="5" spans="1:6" ht="38.25">
      <c r="A5" s="615">
        <v>3</v>
      </c>
      <c r="B5" s="606" t="s">
        <v>747</v>
      </c>
      <c r="C5" s="600" t="s">
        <v>190</v>
      </c>
      <c r="D5" s="721">
        <v>1</v>
      </c>
      <c r="E5" s="722"/>
      <c r="F5" s="624">
        <f t="shared" si="0"/>
        <v>0</v>
      </c>
    </row>
    <row r="6" spans="1:6">
      <c r="A6" s="615">
        <v>4</v>
      </c>
      <c r="B6" s="614" t="s">
        <v>748</v>
      </c>
      <c r="C6" s="619" t="s">
        <v>190</v>
      </c>
      <c r="D6" s="622">
        <v>1</v>
      </c>
      <c r="E6" s="624"/>
      <c r="F6" s="624">
        <f t="shared" si="0"/>
        <v>0</v>
      </c>
    </row>
  </sheetData>
  <pageMargins left="0.7" right="0.7" top="0.75" bottom="0.75"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3:O12"/>
  <sheetViews>
    <sheetView view="pageBreakPreview" zoomScale="110" zoomScaleSheetLayoutView="110" workbookViewId="0">
      <selection activeCell="A11" sqref="A11"/>
    </sheetView>
  </sheetViews>
  <sheetFormatPr defaultColWidth="8.7109375" defaultRowHeight="12.75"/>
  <cols>
    <col min="1" max="1" width="11.7109375" style="50" customWidth="1"/>
    <col min="2" max="2" width="31.7109375" style="50" customWidth="1"/>
    <col min="3" max="3" width="13.42578125" style="50" customWidth="1"/>
    <col min="4" max="4" width="26.42578125" style="50" customWidth="1"/>
    <col min="5" max="7" width="8.7109375" style="50"/>
    <col min="8" max="8" width="10.28515625" style="50" customWidth="1"/>
    <col min="9" max="16384" width="8.7109375" style="50"/>
  </cols>
  <sheetData>
    <row r="3" spans="1:15" ht="19.899999999999999" customHeight="1" thickBot="1">
      <c r="A3" s="88" t="s">
        <v>823</v>
      </c>
      <c r="B3" s="87"/>
      <c r="C3" s="86"/>
      <c r="D3" s="85"/>
      <c r="E3" s="72"/>
      <c r="F3" s="71"/>
      <c r="G3" s="70"/>
      <c r="H3" s="69"/>
      <c r="I3" s="69"/>
      <c r="J3" s="69"/>
      <c r="K3" s="69"/>
      <c r="L3" s="69"/>
      <c r="M3" s="70"/>
      <c r="N3" s="55"/>
      <c r="O3" s="55"/>
    </row>
    <row r="4" spans="1:15" ht="19.899999999999999" customHeight="1">
      <c r="A4" s="84" t="s">
        <v>179</v>
      </c>
      <c r="B4" s="83" t="s">
        <v>178</v>
      </c>
      <c r="C4" s="82"/>
      <c r="D4" s="81">
        <f>'Predračun-dovozna cesta'!M4</f>
        <v>0</v>
      </c>
      <c r="E4" s="72"/>
      <c r="F4" s="71"/>
      <c r="G4" s="70"/>
      <c r="H4" s="69"/>
      <c r="I4" s="69"/>
      <c r="J4" s="69"/>
      <c r="K4" s="69"/>
      <c r="L4" s="69"/>
      <c r="M4" s="68"/>
      <c r="N4" s="55"/>
      <c r="O4" s="55"/>
    </row>
    <row r="5" spans="1:15" ht="19.899999999999999" customHeight="1">
      <c r="A5" s="80" t="s">
        <v>177</v>
      </c>
      <c r="B5" s="79" t="s">
        <v>176</v>
      </c>
      <c r="C5" s="78"/>
      <c r="D5" s="77">
        <f>'Predračun-dovozna cesta'!M12</f>
        <v>0</v>
      </c>
      <c r="E5" s="72"/>
      <c r="F5" s="71"/>
      <c r="G5" s="70"/>
      <c r="H5" s="69"/>
      <c r="I5" s="69"/>
      <c r="J5" s="69"/>
      <c r="K5" s="69"/>
      <c r="L5" s="69"/>
      <c r="M5" s="68"/>
      <c r="N5" s="55"/>
      <c r="O5" s="55"/>
    </row>
    <row r="6" spans="1:15" ht="19.899999999999999" customHeight="1">
      <c r="A6" s="84" t="s">
        <v>175</v>
      </c>
      <c r="B6" s="75" t="s">
        <v>385</v>
      </c>
      <c r="C6" s="74"/>
      <c r="D6" s="73">
        <f>'Predračun-dovozna cesta'!M22</f>
        <v>0</v>
      </c>
      <c r="E6" s="72"/>
      <c r="F6" s="71"/>
      <c r="G6" s="70"/>
      <c r="H6" s="69"/>
      <c r="I6" s="69"/>
      <c r="J6" s="69"/>
      <c r="K6" s="69"/>
      <c r="L6" s="69"/>
      <c r="M6" s="68"/>
      <c r="N6" s="55"/>
      <c r="O6" s="55"/>
    </row>
    <row r="7" spans="1:15" s="59" customFormat="1" ht="19.899999999999999" customHeight="1">
      <c r="A7" s="67" t="s">
        <v>169</v>
      </c>
      <c r="B7" s="66"/>
      <c r="C7" s="60"/>
      <c r="D7" s="65">
        <f>SUM(D4:D6)</f>
        <v>0</v>
      </c>
      <c r="E7" s="64"/>
      <c r="F7" s="63"/>
      <c r="G7" s="61"/>
      <c r="H7" s="62"/>
      <c r="I7" s="62"/>
      <c r="J7" s="62"/>
      <c r="K7" s="62"/>
      <c r="L7" s="62"/>
      <c r="M7" s="61"/>
      <c r="N7" s="60"/>
      <c r="O7" s="60"/>
    </row>
    <row r="8" spans="1:15" ht="19.899999999999999" customHeight="1">
      <c r="A8" s="58" t="s">
        <v>180</v>
      </c>
      <c r="B8" s="57"/>
      <c r="C8" s="57"/>
      <c r="D8" s="56">
        <f>D7*0.22</f>
        <v>0</v>
      </c>
      <c r="F8" s="55"/>
      <c r="G8" s="55"/>
      <c r="H8" s="55"/>
      <c r="I8" s="55"/>
      <c r="J8" s="55"/>
      <c r="K8" s="55"/>
      <c r="L8" s="55"/>
      <c r="M8" s="55"/>
      <c r="N8" s="55"/>
      <c r="O8" s="55"/>
    </row>
    <row r="9" spans="1:15" ht="19.899999999999999" customHeight="1" thickBot="1">
      <c r="A9" s="54" t="s">
        <v>168</v>
      </c>
      <c r="B9" s="53"/>
      <c r="C9" s="53"/>
      <c r="D9" s="52">
        <f>D7*1.22</f>
        <v>0</v>
      </c>
    </row>
    <row r="10" spans="1:15" ht="13.5" thickTop="1"/>
    <row r="11" spans="1:15">
      <c r="A11" s="50" t="s">
        <v>824</v>
      </c>
    </row>
    <row r="12" spans="1:15">
      <c r="D12" s="51"/>
    </row>
  </sheetData>
  <phoneticPr fontId="31" type="noConversion"/>
  <pageMargins left="0.70866141732283472" right="0.70866141732283472" top="0.74803149606299213" bottom="0.74803149606299213" header="0.31496062992125984" footer="0.31496062992125984"/>
  <pageSetup paperSize="9" orientation="portrait" r:id="rId1"/>
  <headerFooter>
    <oddHeader>&amp;CProjekt Dolenje in Gorenje Ponikve:
Kanalizacija, rekonstrukcija vodovoda in pločnik med naseljema</oddHeader>
    <oddFooter>&amp;R&amp;P/&amp;N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Q34"/>
  <sheetViews>
    <sheetView view="pageBreakPreview" topLeftCell="A7" zoomScale="110" zoomScaleSheetLayoutView="110" workbookViewId="0">
      <selection activeCell="A9" sqref="A9"/>
    </sheetView>
  </sheetViews>
  <sheetFormatPr defaultColWidth="8.7109375" defaultRowHeight="12.75"/>
  <cols>
    <col min="1" max="1" width="8.7109375" style="101" customWidth="1"/>
    <col min="2" max="2" width="11.7109375" style="4" customWidth="1"/>
    <col min="3" max="3" width="36.7109375" style="93" customWidth="1"/>
    <col min="4" max="4" width="30.7109375" style="93" customWidth="1"/>
    <col min="5" max="5" width="6.7109375" style="4" customWidth="1"/>
    <col min="6" max="6" width="11.7109375" style="6" customWidth="1"/>
    <col min="7" max="7" width="16.7109375" style="8" customWidth="1"/>
    <col min="8" max="12" width="0" hidden="1" customWidth="1"/>
    <col min="13" max="13" width="18.7109375" style="10" customWidth="1"/>
  </cols>
  <sheetData>
    <row r="1" spans="1:17" ht="18.75" customHeight="1">
      <c r="A1" s="102" t="s">
        <v>378</v>
      </c>
    </row>
    <row r="2" spans="1:17" s="1" customFormat="1" ht="18.75" thickBot="1">
      <c r="B2" s="3"/>
      <c r="C2" s="90"/>
      <c r="D2" s="90"/>
      <c r="E2" s="3"/>
      <c r="F2" s="5"/>
      <c r="G2" s="7"/>
      <c r="M2" s="9"/>
    </row>
    <row r="3" spans="1:17" s="2" customFormat="1" ht="15.75" thickBot="1">
      <c r="A3" s="30" t="s">
        <v>131</v>
      </c>
      <c r="B3" s="31" t="s">
        <v>135</v>
      </c>
      <c r="C3" s="32" t="s">
        <v>133</v>
      </c>
      <c r="D3" s="32" t="s">
        <v>134</v>
      </c>
      <c r="E3" s="31" t="s">
        <v>136</v>
      </c>
      <c r="F3" s="33" t="s">
        <v>132</v>
      </c>
      <c r="G3" s="34" t="s">
        <v>137</v>
      </c>
      <c r="H3" s="34" t="s">
        <v>137</v>
      </c>
      <c r="I3" s="34" t="s">
        <v>137</v>
      </c>
      <c r="J3" s="34" t="s">
        <v>137</v>
      </c>
      <c r="K3" s="34" t="s">
        <v>137</v>
      </c>
      <c r="L3" s="34" t="s">
        <v>137</v>
      </c>
      <c r="M3" s="35" t="s">
        <v>165</v>
      </c>
    </row>
    <row r="4" spans="1:17" s="11" customFormat="1" ht="16.899999999999999" customHeight="1">
      <c r="A4" s="96" t="s">
        <v>138</v>
      </c>
      <c r="B4" s="26"/>
      <c r="C4" s="91"/>
      <c r="D4" s="91"/>
      <c r="E4" s="26"/>
      <c r="F4" s="27"/>
      <c r="G4" s="28"/>
      <c r="H4" s="29">
        <v>2495</v>
      </c>
      <c r="I4" s="29"/>
      <c r="J4" s="29"/>
      <c r="K4" s="29"/>
      <c r="L4" s="29"/>
      <c r="M4" s="28">
        <f>SUM(M5,M8)</f>
        <v>0</v>
      </c>
    </row>
    <row r="5" spans="1:17" s="11" customFormat="1" ht="16.899999999999999" customHeight="1">
      <c r="A5" s="97" t="s">
        <v>139</v>
      </c>
      <c r="B5" s="12"/>
      <c r="C5" s="92"/>
      <c r="D5" s="92"/>
      <c r="E5" s="12"/>
      <c r="F5" s="13"/>
      <c r="G5" s="14"/>
      <c r="H5" s="15">
        <v>2496</v>
      </c>
      <c r="I5" s="15"/>
      <c r="J5" s="15"/>
      <c r="K5" s="15"/>
      <c r="L5" s="15"/>
      <c r="M5" s="14">
        <f>SUM(M6:M7)</f>
        <v>0</v>
      </c>
    </row>
    <row r="6" spans="1:17" ht="25.5">
      <c r="A6" s="98" t="s">
        <v>140</v>
      </c>
      <c r="B6" s="16" t="s">
        <v>187</v>
      </c>
      <c r="C6" s="89" t="s">
        <v>219</v>
      </c>
      <c r="D6" s="89"/>
      <c r="E6" s="16" t="s">
        <v>188</v>
      </c>
      <c r="F6" s="115">
        <v>0.13442000000000001</v>
      </c>
      <c r="G6" s="18"/>
      <c r="H6" s="19">
        <v>5865</v>
      </c>
      <c r="I6" s="19">
        <v>2496</v>
      </c>
      <c r="J6" s="19"/>
      <c r="K6" s="19">
        <v>12786</v>
      </c>
      <c r="L6" s="19"/>
      <c r="M6" s="18">
        <f>F6*G6</f>
        <v>0</v>
      </c>
    </row>
    <row r="7" spans="1:17" ht="25.5">
      <c r="A7" s="99" t="s">
        <v>141</v>
      </c>
      <c r="B7" s="20" t="s">
        <v>189</v>
      </c>
      <c r="C7" s="94" t="s">
        <v>220</v>
      </c>
      <c r="D7" s="89"/>
      <c r="E7" s="20" t="s">
        <v>190</v>
      </c>
      <c r="F7" s="115">
        <v>7</v>
      </c>
      <c r="G7" s="21"/>
      <c r="H7" s="19">
        <v>5866</v>
      </c>
      <c r="I7" s="19">
        <v>2496</v>
      </c>
      <c r="J7" s="19"/>
      <c r="K7" s="19">
        <v>12776</v>
      </c>
      <c r="L7" s="19"/>
      <c r="M7" s="18">
        <f>F7*G7</f>
        <v>0</v>
      </c>
    </row>
    <row r="8" spans="1:17" s="11" customFormat="1" ht="16.899999999999999" customHeight="1">
      <c r="A8" s="97" t="s">
        <v>143</v>
      </c>
      <c r="B8" s="12"/>
      <c r="C8" s="92"/>
      <c r="D8" s="92"/>
      <c r="E8" s="12"/>
      <c r="F8" s="121"/>
      <c r="G8" s="14"/>
      <c r="H8" s="15">
        <v>2497</v>
      </c>
      <c r="I8" s="15"/>
      <c r="J8" s="15"/>
      <c r="K8" s="15"/>
      <c r="L8" s="15"/>
      <c r="M8" s="14">
        <f>SUM(M9:M10)</f>
        <v>0</v>
      </c>
    </row>
    <row r="9" spans="1:17" ht="25.5">
      <c r="A9" s="109" t="s">
        <v>141</v>
      </c>
      <c r="B9" s="110" t="s">
        <v>111</v>
      </c>
      <c r="C9" s="111" t="s">
        <v>112</v>
      </c>
      <c r="D9" s="89" t="s">
        <v>336</v>
      </c>
      <c r="E9" s="110" t="s">
        <v>105</v>
      </c>
      <c r="F9" s="445">
        <v>7</v>
      </c>
      <c r="G9" s="21"/>
      <c r="H9" s="19">
        <v>5932</v>
      </c>
      <c r="I9" s="19">
        <v>2497</v>
      </c>
      <c r="J9" s="19"/>
      <c r="K9" s="19">
        <v>5065</v>
      </c>
      <c r="L9" s="19"/>
      <c r="M9" s="18">
        <f>F9*G9</f>
        <v>0</v>
      </c>
    </row>
    <row r="10" spans="1:17" ht="25.5">
      <c r="A10" s="109" t="s">
        <v>142</v>
      </c>
      <c r="B10" s="110" t="s">
        <v>113</v>
      </c>
      <c r="C10" s="111" t="s">
        <v>114</v>
      </c>
      <c r="D10" s="89"/>
      <c r="E10" s="110" t="s">
        <v>115</v>
      </c>
      <c r="F10" s="445">
        <v>6.5</v>
      </c>
      <c r="G10" s="21"/>
      <c r="H10" s="19">
        <v>5932</v>
      </c>
      <c r="I10" s="19">
        <v>2497</v>
      </c>
      <c r="J10" s="19"/>
      <c r="K10" s="19">
        <v>5065</v>
      </c>
      <c r="L10" s="19"/>
      <c r="M10" s="18">
        <f>F10*G10</f>
        <v>0</v>
      </c>
    </row>
    <row r="11" spans="1:17">
      <c r="A11" s="99"/>
      <c r="B11" s="110"/>
      <c r="C11" s="94"/>
      <c r="D11" s="89"/>
      <c r="E11" s="20"/>
      <c r="F11" s="22"/>
      <c r="G11" s="21"/>
      <c r="H11" s="19"/>
      <c r="I11" s="19"/>
      <c r="J11" s="19"/>
      <c r="K11" s="19"/>
      <c r="L11" s="19"/>
      <c r="M11" s="18"/>
    </row>
    <row r="12" spans="1:17" s="11" customFormat="1" ht="16.899999999999999" customHeight="1">
      <c r="A12" s="100" t="s">
        <v>148</v>
      </c>
      <c r="B12" s="23"/>
      <c r="C12" s="95"/>
      <c r="D12" s="92"/>
      <c r="E12" s="23"/>
      <c r="F12" s="24"/>
      <c r="G12" s="25"/>
      <c r="H12" s="15">
        <v>2499</v>
      </c>
      <c r="I12" s="15"/>
      <c r="J12" s="15"/>
      <c r="K12" s="15"/>
      <c r="L12" s="15"/>
      <c r="M12" s="14">
        <f>SUM(M13,M16)+M18</f>
        <v>0</v>
      </c>
    </row>
    <row r="13" spans="1:17" s="11" customFormat="1" ht="16.899999999999999" customHeight="1">
      <c r="A13" s="100" t="s">
        <v>149</v>
      </c>
      <c r="B13" s="23"/>
      <c r="C13" s="95"/>
      <c r="D13" s="92"/>
      <c r="E13" s="23"/>
      <c r="F13" s="24"/>
      <c r="G13" s="25"/>
      <c r="H13" s="15">
        <v>2500</v>
      </c>
      <c r="I13" s="15"/>
      <c r="J13" s="15"/>
      <c r="K13" s="15"/>
      <c r="L13" s="15"/>
      <c r="M13" s="14">
        <f>SUM(M14:M15)</f>
        <v>0</v>
      </c>
    </row>
    <row r="14" spans="1:17" s="11" customFormat="1" ht="16.899999999999999" customHeight="1">
      <c r="A14" s="100"/>
      <c r="B14" s="23"/>
      <c r="C14" s="449" t="s">
        <v>377</v>
      </c>
      <c r="D14" s="92"/>
      <c r="E14" s="440" t="s">
        <v>108</v>
      </c>
      <c r="F14" s="448">
        <f>F6*1000*6*0.2</f>
        <v>161.30400000000003</v>
      </c>
      <c r="G14" s="441"/>
      <c r="H14" s="442"/>
      <c r="I14" s="442"/>
      <c r="J14" s="442"/>
      <c r="K14" s="442"/>
      <c r="L14" s="442"/>
      <c r="M14" s="443">
        <f>F14*G14</f>
        <v>0</v>
      </c>
    </row>
    <row r="15" spans="1:17" ht="25.5">
      <c r="A15" s="99" t="s">
        <v>140</v>
      </c>
      <c r="B15" s="110" t="s">
        <v>122</v>
      </c>
      <c r="C15" s="111" t="s">
        <v>123</v>
      </c>
      <c r="D15" s="103"/>
      <c r="E15" s="110" t="s">
        <v>108</v>
      </c>
      <c r="F15" s="445">
        <v>160</v>
      </c>
      <c r="G15" s="21"/>
      <c r="H15" s="19">
        <v>5879</v>
      </c>
      <c r="I15" s="19">
        <v>2500</v>
      </c>
      <c r="J15" s="19"/>
      <c r="K15" s="19">
        <v>4475</v>
      </c>
      <c r="L15" s="19" t="s">
        <v>150</v>
      </c>
      <c r="M15" s="18">
        <f>F15*G15</f>
        <v>0</v>
      </c>
      <c r="N15" s="732"/>
      <c r="O15" s="732"/>
      <c r="P15" s="732"/>
      <c r="Q15" s="732"/>
    </row>
    <row r="16" spans="1:17" s="11" customFormat="1" ht="16.899999999999999" customHeight="1">
      <c r="A16" s="97" t="s">
        <v>151</v>
      </c>
      <c r="B16" s="12"/>
      <c r="C16" s="92"/>
      <c r="D16" s="92"/>
      <c r="E16" s="12"/>
      <c r="F16" s="121"/>
      <c r="G16" s="14"/>
      <c r="H16" s="15">
        <v>2501</v>
      </c>
      <c r="I16" s="15"/>
      <c r="J16" s="15"/>
      <c r="K16" s="15"/>
      <c r="L16" s="15"/>
      <c r="M16" s="14">
        <f>SUM(M17:M17)</f>
        <v>0</v>
      </c>
    </row>
    <row r="17" spans="1:16" ht="25.5">
      <c r="A17" s="98" t="s">
        <v>140</v>
      </c>
      <c r="B17" s="107" t="s">
        <v>124</v>
      </c>
      <c r="C17" s="89" t="s">
        <v>152</v>
      </c>
      <c r="D17" s="89"/>
      <c r="E17" s="107" t="s">
        <v>105</v>
      </c>
      <c r="F17" s="115">
        <f>F6*1000*5.4</f>
        <v>725.86800000000017</v>
      </c>
      <c r="G17" s="18"/>
      <c r="H17" s="19">
        <v>5880</v>
      </c>
      <c r="I17" s="19">
        <v>2501</v>
      </c>
      <c r="J17" s="19"/>
      <c r="K17" s="19">
        <v>5917</v>
      </c>
      <c r="L17" s="19"/>
      <c r="M17" s="18">
        <f>F17*G17</f>
        <v>0</v>
      </c>
    </row>
    <row r="18" spans="1:16" s="11" customFormat="1" ht="16.899999999999999" customHeight="1">
      <c r="A18" s="97" t="s">
        <v>825</v>
      </c>
      <c r="B18" s="12"/>
      <c r="C18" s="92"/>
      <c r="D18" s="92"/>
      <c r="E18" s="12"/>
      <c r="F18" s="121"/>
      <c r="G18" s="14"/>
      <c r="H18" s="15">
        <v>2503</v>
      </c>
      <c r="I18" s="15"/>
      <c r="J18" s="15"/>
      <c r="K18" s="15"/>
      <c r="L18" s="15"/>
      <c r="M18" s="14">
        <f>SUM(M19:M20)</f>
        <v>0</v>
      </c>
    </row>
    <row r="19" spans="1:16" ht="25.5">
      <c r="A19" s="98" t="s">
        <v>140</v>
      </c>
      <c r="B19" s="107" t="s">
        <v>128</v>
      </c>
      <c r="C19" s="89" t="s">
        <v>153</v>
      </c>
      <c r="D19" s="89" t="s">
        <v>154</v>
      </c>
      <c r="E19" s="107" t="s">
        <v>105</v>
      </c>
      <c r="F19" s="115">
        <f>9*20*2</f>
        <v>360</v>
      </c>
      <c r="G19" s="18"/>
      <c r="H19" s="19">
        <v>5886</v>
      </c>
      <c r="I19" s="19">
        <v>2503</v>
      </c>
      <c r="J19" s="19"/>
      <c r="K19" s="19">
        <v>6255</v>
      </c>
      <c r="L19" s="19"/>
      <c r="M19" s="18">
        <f>F19*G19</f>
        <v>0</v>
      </c>
    </row>
    <row r="20" spans="1:16">
      <c r="A20" s="98" t="s">
        <v>141</v>
      </c>
      <c r="B20" s="107" t="s">
        <v>129</v>
      </c>
      <c r="C20" s="89" t="s">
        <v>155</v>
      </c>
      <c r="D20" s="89"/>
      <c r="E20" s="107" t="s">
        <v>105</v>
      </c>
      <c r="F20" s="115">
        <f>F19</f>
        <v>360</v>
      </c>
      <c r="G20" s="18"/>
      <c r="H20" s="19">
        <v>5933</v>
      </c>
      <c r="I20" s="19">
        <v>2503</v>
      </c>
      <c r="J20" s="19"/>
      <c r="K20" s="19">
        <v>6270</v>
      </c>
      <c r="L20" s="19"/>
      <c r="M20" s="18">
        <f>F20*G20</f>
        <v>0</v>
      </c>
    </row>
    <row r="21" spans="1:16">
      <c r="A21" s="98"/>
      <c r="B21" s="16"/>
      <c r="C21" s="89"/>
      <c r="D21" s="89"/>
      <c r="E21" s="16"/>
      <c r="F21" s="17"/>
      <c r="G21" s="18"/>
      <c r="H21" s="19"/>
      <c r="I21" s="19"/>
      <c r="J21" s="19"/>
      <c r="K21" s="19"/>
      <c r="L21" s="19"/>
      <c r="M21" s="18"/>
    </row>
    <row r="22" spans="1:16" s="11" customFormat="1" ht="16.899999999999999" customHeight="1">
      <c r="A22" s="97" t="s">
        <v>826</v>
      </c>
      <c r="B22" s="12"/>
      <c r="C22" s="746"/>
      <c r="D22" s="747"/>
      <c r="E22" s="12"/>
      <c r="F22" s="13"/>
      <c r="G22" s="14"/>
      <c r="H22" s="15">
        <v>2504</v>
      </c>
      <c r="I22" s="15"/>
      <c r="J22" s="15"/>
      <c r="K22" s="15"/>
      <c r="L22" s="15"/>
      <c r="M22" s="14">
        <f>SUM(M23)</f>
        <v>0</v>
      </c>
    </row>
    <row r="23" spans="1:16" s="11" customFormat="1" ht="16.899999999999999" customHeight="1">
      <c r="A23" s="97" t="s">
        <v>827</v>
      </c>
      <c r="B23" s="12"/>
      <c r="C23" s="92"/>
      <c r="D23" s="92"/>
      <c r="E23" s="12"/>
      <c r="F23" s="13"/>
      <c r="G23" s="14"/>
      <c r="H23" s="15">
        <v>2505</v>
      </c>
      <c r="I23" s="15"/>
      <c r="J23" s="15"/>
      <c r="K23" s="15"/>
      <c r="L23" s="15"/>
      <c r="M23" s="14">
        <f>SUM(M24:M29)</f>
        <v>0</v>
      </c>
    </row>
    <row r="24" spans="1:16" s="11" customFormat="1" ht="85.5" customHeight="1">
      <c r="A24" s="98" t="s">
        <v>140</v>
      </c>
      <c r="B24" s="107" t="s">
        <v>201</v>
      </c>
      <c r="C24" s="103" t="s">
        <v>380</v>
      </c>
      <c r="D24" s="447"/>
      <c r="E24" s="452" t="s">
        <v>190</v>
      </c>
      <c r="F24" s="115">
        <v>1</v>
      </c>
      <c r="G24" s="18"/>
      <c r="H24" s="19">
        <v>5882</v>
      </c>
      <c r="I24" s="19">
        <v>2502</v>
      </c>
      <c r="J24" s="19"/>
      <c r="K24" s="19">
        <v>6223</v>
      </c>
      <c r="L24" s="19"/>
      <c r="M24" s="18">
        <f>F24*G24</f>
        <v>0</v>
      </c>
    </row>
    <row r="25" spans="1:16" s="11" customFormat="1" ht="85.5" customHeight="1">
      <c r="A25" s="98"/>
      <c r="B25" s="107" t="s">
        <v>202</v>
      </c>
      <c r="C25" s="103" t="s">
        <v>383</v>
      </c>
      <c r="D25" s="447"/>
      <c r="E25" s="452" t="s">
        <v>105</v>
      </c>
      <c r="F25" s="115">
        <v>15.91</v>
      </c>
      <c r="G25" s="18"/>
      <c r="H25" s="19"/>
      <c r="I25" s="19"/>
      <c r="J25" s="19"/>
      <c r="K25" s="19"/>
      <c r="L25" s="19"/>
      <c r="M25" s="18">
        <f t="shared" ref="M25" si="0">F25*G25</f>
        <v>0</v>
      </c>
    </row>
    <row r="26" spans="1:16" s="11" customFormat="1" ht="98.25" customHeight="1">
      <c r="A26" s="98"/>
      <c r="B26" s="107" t="s">
        <v>379</v>
      </c>
      <c r="C26" s="103" t="s">
        <v>384</v>
      </c>
      <c r="D26" s="447"/>
      <c r="E26" s="452" t="s">
        <v>105</v>
      </c>
      <c r="F26" s="115">
        <f>15.91+2.6</f>
        <v>18.510000000000002</v>
      </c>
      <c r="G26" s="18"/>
      <c r="H26" s="19"/>
      <c r="I26" s="19"/>
      <c r="J26" s="19"/>
      <c r="K26" s="19"/>
      <c r="L26" s="19"/>
      <c r="M26" s="18">
        <f t="shared" ref="M26:M29" si="1">F26*G26</f>
        <v>0</v>
      </c>
    </row>
    <row r="27" spans="1:16" s="11" customFormat="1" ht="61.5" customHeight="1">
      <c r="A27" s="98"/>
      <c r="B27" s="107" t="s">
        <v>203</v>
      </c>
      <c r="C27" s="451" t="s">
        <v>381</v>
      </c>
      <c r="D27" s="447"/>
      <c r="E27" s="452" t="s">
        <v>190</v>
      </c>
      <c r="F27" s="115">
        <v>1</v>
      </c>
      <c r="G27" s="18"/>
      <c r="H27" s="19"/>
      <c r="I27" s="19"/>
      <c r="J27" s="19"/>
      <c r="K27" s="19"/>
      <c r="L27" s="19"/>
      <c r="M27" s="18">
        <f t="shared" si="1"/>
        <v>0</v>
      </c>
    </row>
    <row r="28" spans="1:16" s="11" customFormat="1" ht="102">
      <c r="A28" s="98"/>
      <c r="B28" s="107" t="s">
        <v>382</v>
      </c>
      <c r="C28" s="103" t="s">
        <v>432</v>
      </c>
      <c r="D28" s="447"/>
      <c r="E28" s="452" t="s">
        <v>105</v>
      </c>
      <c r="F28" s="115">
        <v>37.979999999999997</v>
      </c>
      <c r="G28" s="18"/>
      <c r="H28" s="19"/>
      <c r="I28" s="19"/>
      <c r="J28" s="19"/>
      <c r="K28" s="19"/>
      <c r="L28" s="19"/>
      <c r="M28" s="18">
        <f t="shared" si="1"/>
        <v>0</v>
      </c>
    </row>
    <row r="29" spans="1:16" s="11" customFormat="1" ht="57.75" customHeight="1">
      <c r="A29" s="98"/>
      <c r="B29" s="107"/>
      <c r="C29" s="103" t="s">
        <v>386</v>
      </c>
      <c r="D29" s="447"/>
      <c r="E29" s="452" t="s">
        <v>60</v>
      </c>
      <c r="F29" s="115">
        <v>1.4</v>
      </c>
      <c r="G29" s="18"/>
      <c r="H29" s="19"/>
      <c r="I29" s="19"/>
      <c r="J29" s="19"/>
      <c r="K29" s="19"/>
      <c r="L29" s="19"/>
      <c r="M29" s="18">
        <f t="shared" si="1"/>
        <v>0</v>
      </c>
    </row>
    <row r="30" spans="1:16">
      <c r="A30" s="98"/>
      <c r="B30" s="16"/>
      <c r="C30" s="89"/>
      <c r="D30" s="89"/>
      <c r="E30" s="16"/>
      <c r="F30" s="17"/>
      <c r="G30" s="18"/>
      <c r="H30" s="19"/>
      <c r="I30" s="19"/>
      <c r="J30" s="19"/>
      <c r="K30" s="19"/>
      <c r="L30" s="19"/>
      <c r="M30" s="18"/>
    </row>
    <row r="31" spans="1:16">
      <c r="P31" s="108"/>
    </row>
    <row r="32" spans="1:16">
      <c r="P32" s="108"/>
    </row>
    <row r="33" spans="16:16">
      <c r="P33" s="108"/>
    </row>
    <row r="34" spans="16:16">
      <c r="P34" s="108"/>
    </row>
  </sheetData>
  <mergeCells count="1">
    <mergeCell ref="C22:D22"/>
  </mergeCells>
  <phoneticPr fontId="31" type="noConversion"/>
  <pageMargins left="0.70866141732283472" right="0.70866141732283472" top="0.74803149606299213" bottom="0.74803149606299213" header="0.31496062992125984" footer="0.31496062992125984"/>
  <pageSetup paperSize="9" scale="62" orientation="portrait" r:id="rId1"/>
  <headerFooter>
    <oddHeader>&amp;CProjekt Dolenje in Gorenje Ponikve:
Kanalizacija, rekonstrukcija vodovoda in pločnik med naseljema</oddHeader>
    <oddFooter>&amp;R&amp;P/&amp;N</oddFooter>
  </headerFooter>
  <rowBreaks count="1" manualBreakCount="1">
    <brk id="21" max="12" man="1"/>
  </rowBreaks>
  <ignoredErrors>
    <ignoredError sqref="A24" numberStoredAsText="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3:O11"/>
  <sheetViews>
    <sheetView view="pageBreakPreview" zoomScale="110" zoomScaleSheetLayoutView="110" workbookViewId="0">
      <selection activeCell="A9" sqref="A9"/>
    </sheetView>
  </sheetViews>
  <sheetFormatPr defaultColWidth="8.7109375" defaultRowHeight="12.75"/>
  <cols>
    <col min="1" max="1" width="11.7109375" style="50" customWidth="1"/>
    <col min="2" max="2" width="31.7109375" style="50" customWidth="1"/>
    <col min="3" max="3" width="13.42578125" style="50" customWidth="1"/>
    <col min="4" max="4" width="26.42578125" style="50" customWidth="1"/>
    <col min="5" max="7" width="8.7109375" style="50"/>
    <col min="8" max="8" width="10.42578125" style="50" customWidth="1"/>
    <col min="9" max="16384" width="8.7109375" style="50"/>
  </cols>
  <sheetData>
    <row r="3" spans="1:15" ht="19.899999999999999" customHeight="1" thickBot="1">
      <c r="A3" s="88" t="s">
        <v>387</v>
      </c>
      <c r="B3" s="87"/>
      <c r="C3" s="86"/>
      <c r="D3" s="85"/>
      <c r="E3" s="72"/>
      <c r="F3" s="71"/>
      <c r="G3" s="70"/>
      <c r="H3" s="69"/>
      <c r="I3" s="69"/>
      <c r="J3" s="69"/>
      <c r="K3" s="69"/>
      <c r="L3" s="69"/>
      <c r="M3" s="70"/>
      <c r="N3" s="55"/>
      <c r="O3" s="55"/>
    </row>
    <row r="4" spans="1:15" ht="19.899999999999999" customHeight="1">
      <c r="A4" s="84" t="s">
        <v>179</v>
      </c>
      <c r="B4" s="83" t="s">
        <v>178</v>
      </c>
      <c r="C4" s="82"/>
      <c r="D4" s="81">
        <f>'predračun-dovozna cesta 2'!M4</f>
        <v>0</v>
      </c>
      <c r="E4" s="72"/>
      <c r="F4" s="71"/>
      <c r="G4" s="70"/>
      <c r="H4" s="69"/>
      <c r="I4" s="69"/>
      <c r="J4" s="69"/>
      <c r="K4" s="69"/>
      <c r="L4" s="69"/>
      <c r="M4" s="68"/>
      <c r="N4" s="55"/>
      <c r="O4" s="55"/>
    </row>
    <row r="5" spans="1:15" ht="19.899999999999999" customHeight="1">
      <c r="A5" s="80" t="s">
        <v>177</v>
      </c>
      <c r="B5" s="79" t="s">
        <v>176</v>
      </c>
      <c r="C5" s="78"/>
      <c r="D5" s="77">
        <f>'predračun-dovozna cesta 2'!M12</f>
        <v>0</v>
      </c>
      <c r="E5" s="72"/>
      <c r="F5" s="71"/>
      <c r="G5" s="70"/>
      <c r="H5" s="69"/>
      <c r="I5" s="69"/>
      <c r="J5" s="69"/>
      <c r="K5" s="69"/>
      <c r="L5" s="69"/>
      <c r="M5" s="68"/>
      <c r="N5" s="55"/>
      <c r="O5" s="55"/>
    </row>
    <row r="6" spans="1:15" s="59" customFormat="1" ht="19.899999999999999" customHeight="1">
      <c r="A6" s="67" t="s">
        <v>169</v>
      </c>
      <c r="B6" s="66"/>
      <c r="C6" s="60"/>
      <c r="D6" s="65">
        <f>SUM(D4:D5)</f>
        <v>0</v>
      </c>
      <c r="E6" s="64"/>
      <c r="F6" s="63"/>
      <c r="G6" s="61"/>
      <c r="H6" s="62"/>
      <c r="I6" s="62"/>
      <c r="J6" s="62"/>
      <c r="K6" s="62"/>
      <c r="L6" s="62"/>
      <c r="M6" s="61"/>
      <c r="N6" s="60"/>
      <c r="O6" s="60"/>
    </row>
    <row r="7" spans="1:15" ht="19.899999999999999" customHeight="1">
      <c r="A7" s="58" t="s">
        <v>180</v>
      </c>
      <c r="B7" s="57"/>
      <c r="C7" s="57"/>
      <c r="D7" s="56">
        <f>D6*0.22</f>
        <v>0</v>
      </c>
      <c r="F7" s="55"/>
      <c r="G7" s="55"/>
      <c r="H7" s="55"/>
      <c r="I7" s="55"/>
      <c r="J7" s="55"/>
      <c r="K7" s="55"/>
      <c r="L7" s="55"/>
      <c r="M7" s="55"/>
      <c r="N7" s="55"/>
      <c r="O7" s="55"/>
    </row>
    <row r="8" spans="1:15" ht="19.899999999999999" customHeight="1" thickBot="1">
      <c r="A8" s="54" t="s">
        <v>168</v>
      </c>
      <c r="B8" s="53"/>
      <c r="C8" s="53"/>
      <c r="D8" s="52">
        <f>D6*1.22</f>
        <v>0</v>
      </c>
    </row>
    <row r="9" spans="1:15" ht="13.5" thickTop="1">
      <c r="A9" s="50" t="s">
        <v>824</v>
      </c>
    </row>
    <row r="11" spans="1:15">
      <c r="D11" s="51"/>
    </row>
  </sheetData>
  <pageMargins left="0.70866141732283472" right="0.70866141732283472" top="0.74803149606299213" bottom="0.74803149606299213" header="0.31496062992125984" footer="0.31496062992125984"/>
  <pageSetup paperSize="9" orientation="portrait" r:id="rId1"/>
  <headerFooter>
    <oddHeader>&amp;CProjekt Dolenje in Gorenje Ponikve:
Kanalizacija, rekonstrukcija vodovoda in pločnik med naseljema</oddHead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P22"/>
  <sheetViews>
    <sheetView view="pageBreakPreview" zoomScale="110" zoomScaleSheetLayoutView="110" workbookViewId="0">
      <selection activeCell="G18" sqref="G18"/>
    </sheetView>
  </sheetViews>
  <sheetFormatPr defaultColWidth="8.7109375" defaultRowHeight="12.75"/>
  <cols>
    <col min="1" max="1" width="8.7109375" style="101" customWidth="1"/>
    <col min="2" max="2" width="11.7109375" style="4" customWidth="1"/>
    <col min="3" max="3" width="36.7109375" style="93" customWidth="1"/>
    <col min="4" max="4" width="30.7109375" style="93" customWidth="1"/>
    <col min="5" max="5" width="6.7109375" style="4" customWidth="1"/>
    <col min="6" max="6" width="11.7109375" style="6" customWidth="1"/>
    <col min="7" max="7" width="16.7109375" style="8" customWidth="1"/>
    <col min="8" max="12" width="0" hidden="1" customWidth="1"/>
    <col min="13" max="13" width="18.7109375" style="10" customWidth="1"/>
  </cols>
  <sheetData>
    <row r="1" spans="1:13" ht="18.75" customHeight="1">
      <c r="A1" s="102" t="s">
        <v>206</v>
      </c>
    </row>
    <row r="2" spans="1:13" s="1" customFormat="1" ht="18.75" thickBot="1">
      <c r="B2" s="3"/>
      <c r="C2" s="90"/>
      <c r="D2" s="90"/>
      <c r="E2" s="3"/>
      <c r="F2" s="5"/>
      <c r="G2" s="7"/>
      <c r="M2" s="9"/>
    </row>
    <row r="3" spans="1:13" s="2" customFormat="1" ht="15.75" thickBot="1">
      <c r="A3" s="30" t="s">
        <v>131</v>
      </c>
      <c r="B3" s="31" t="s">
        <v>135</v>
      </c>
      <c r="C3" s="32" t="s">
        <v>133</v>
      </c>
      <c r="D3" s="32" t="s">
        <v>134</v>
      </c>
      <c r="E3" s="31" t="s">
        <v>136</v>
      </c>
      <c r="F3" s="33" t="s">
        <v>132</v>
      </c>
      <c r="G3" s="34" t="s">
        <v>137</v>
      </c>
      <c r="H3" s="34" t="s">
        <v>137</v>
      </c>
      <c r="I3" s="34" t="s">
        <v>137</v>
      </c>
      <c r="J3" s="34" t="s">
        <v>137</v>
      </c>
      <c r="K3" s="34" t="s">
        <v>137</v>
      </c>
      <c r="L3" s="34" t="s">
        <v>137</v>
      </c>
      <c r="M3" s="35" t="s">
        <v>165</v>
      </c>
    </row>
    <row r="4" spans="1:13" s="11" customFormat="1" ht="16.899999999999999" customHeight="1">
      <c r="A4" s="96" t="s">
        <v>138</v>
      </c>
      <c r="B4" s="26"/>
      <c r="C4" s="91"/>
      <c r="D4" s="91"/>
      <c r="E4" s="26"/>
      <c r="F4" s="27"/>
      <c r="G4" s="28"/>
      <c r="H4" s="29">
        <v>2495</v>
      </c>
      <c r="I4" s="29"/>
      <c r="J4" s="29"/>
      <c r="K4" s="29"/>
      <c r="L4" s="29"/>
      <c r="M4" s="28">
        <f>SUM(M5,M8)</f>
        <v>0</v>
      </c>
    </row>
    <row r="5" spans="1:13" s="11" customFormat="1" ht="16.899999999999999" customHeight="1">
      <c r="A5" s="97" t="s">
        <v>139</v>
      </c>
      <c r="B5" s="12"/>
      <c r="C5" s="92"/>
      <c r="D5" s="92"/>
      <c r="E5" s="12"/>
      <c r="F5" s="13"/>
      <c r="G5" s="14"/>
      <c r="H5" s="15">
        <v>2496</v>
      </c>
      <c r="I5" s="15"/>
      <c r="J5" s="15"/>
      <c r="K5" s="15"/>
      <c r="L5" s="15"/>
      <c r="M5" s="14">
        <f>SUM(M6:M7)</f>
        <v>0</v>
      </c>
    </row>
    <row r="6" spans="1:13" ht="25.5">
      <c r="A6" s="98" t="s">
        <v>140</v>
      </c>
      <c r="B6" s="16" t="s">
        <v>187</v>
      </c>
      <c r="C6" s="89" t="s">
        <v>219</v>
      </c>
      <c r="D6" s="438"/>
      <c r="E6" s="16" t="s">
        <v>188</v>
      </c>
      <c r="F6" s="115">
        <v>0.08</v>
      </c>
      <c r="G6" s="18"/>
      <c r="H6" s="19">
        <v>5865</v>
      </c>
      <c r="I6" s="19">
        <v>2496</v>
      </c>
      <c r="J6" s="19"/>
      <c r="K6" s="19">
        <v>12786</v>
      </c>
      <c r="L6" s="19"/>
      <c r="M6" s="18">
        <f>F6*G6</f>
        <v>0</v>
      </c>
    </row>
    <row r="7" spans="1:13" ht="25.5">
      <c r="A7" s="99" t="s">
        <v>141</v>
      </c>
      <c r="B7" s="20" t="s">
        <v>189</v>
      </c>
      <c r="C7" s="94" t="s">
        <v>220</v>
      </c>
      <c r="D7" s="438"/>
      <c r="E7" s="20" t="s">
        <v>190</v>
      </c>
      <c r="F7" s="115">
        <v>5</v>
      </c>
      <c r="G7" s="21"/>
      <c r="H7" s="19">
        <v>5866</v>
      </c>
      <c r="I7" s="19">
        <v>2496</v>
      </c>
      <c r="J7" s="19"/>
      <c r="K7" s="19">
        <v>12776</v>
      </c>
      <c r="L7" s="19"/>
      <c r="M7" s="18">
        <f>F7*G7</f>
        <v>0</v>
      </c>
    </row>
    <row r="8" spans="1:13" s="11" customFormat="1" ht="16.899999999999999" customHeight="1">
      <c r="A8" s="97" t="s">
        <v>143</v>
      </c>
      <c r="B8" s="12"/>
      <c r="C8" s="92"/>
      <c r="D8" s="92"/>
      <c r="E8" s="12"/>
      <c r="F8" s="121"/>
      <c r="G8" s="14"/>
      <c r="H8" s="15">
        <v>2497</v>
      </c>
      <c r="I8" s="15"/>
      <c r="J8" s="15"/>
      <c r="K8" s="15"/>
      <c r="L8" s="15"/>
      <c r="M8" s="14">
        <f>SUM(M9:M10)</f>
        <v>0</v>
      </c>
    </row>
    <row r="9" spans="1:13" ht="25.5">
      <c r="A9" s="109" t="s">
        <v>141</v>
      </c>
      <c r="B9" s="110" t="s">
        <v>111</v>
      </c>
      <c r="C9" s="111" t="s">
        <v>112</v>
      </c>
      <c r="D9" s="89"/>
      <c r="E9" s="110" t="s">
        <v>105</v>
      </c>
      <c r="F9" s="445">
        <v>6</v>
      </c>
      <c r="G9" s="21"/>
      <c r="H9" s="19">
        <v>5932</v>
      </c>
      <c r="I9" s="19">
        <v>2497</v>
      </c>
      <c r="J9" s="19"/>
      <c r="K9" s="19">
        <v>5065</v>
      </c>
      <c r="L9" s="19"/>
      <c r="M9" s="18">
        <f>F9*G9</f>
        <v>0</v>
      </c>
    </row>
    <row r="10" spans="1:13" ht="25.5">
      <c r="A10" s="109" t="s">
        <v>142</v>
      </c>
      <c r="B10" s="110" t="s">
        <v>113</v>
      </c>
      <c r="C10" s="111" t="s">
        <v>114</v>
      </c>
      <c r="D10" s="89"/>
      <c r="E10" s="110" t="s">
        <v>115</v>
      </c>
      <c r="F10" s="445">
        <v>12</v>
      </c>
      <c r="G10" s="21"/>
      <c r="H10" s="19">
        <v>5932</v>
      </c>
      <c r="I10" s="19">
        <v>2497</v>
      </c>
      <c r="J10" s="19"/>
      <c r="K10" s="19">
        <v>5065</v>
      </c>
      <c r="L10" s="19"/>
      <c r="M10" s="18">
        <f>F10*G10</f>
        <v>0</v>
      </c>
    </row>
    <row r="11" spans="1:13">
      <c r="A11" s="99"/>
      <c r="B11" s="110"/>
      <c r="C11" s="94"/>
      <c r="D11" s="89"/>
      <c r="E11" s="20"/>
      <c r="F11" s="22"/>
      <c r="G11" s="21"/>
      <c r="H11" s="19"/>
      <c r="I11" s="19"/>
      <c r="J11" s="19"/>
      <c r="K11" s="19"/>
      <c r="L11" s="19"/>
      <c r="M11" s="18"/>
    </row>
    <row r="12" spans="1:13" s="11" customFormat="1" ht="16.899999999999999" customHeight="1">
      <c r="A12" s="100" t="s">
        <v>148</v>
      </c>
      <c r="B12" s="23"/>
      <c r="C12" s="95"/>
      <c r="D12" s="92"/>
      <c r="E12" s="23"/>
      <c r="F12" s="24"/>
      <c r="G12" s="25"/>
      <c r="H12" s="15">
        <v>2499</v>
      </c>
      <c r="I12" s="15"/>
      <c r="J12" s="15"/>
      <c r="K12" s="15"/>
      <c r="L12" s="15"/>
      <c r="M12" s="14">
        <f>M13+M16</f>
        <v>0</v>
      </c>
    </row>
    <row r="13" spans="1:13" s="11" customFormat="1" ht="16.899999999999999" customHeight="1">
      <c r="A13" s="100" t="s">
        <v>149</v>
      </c>
      <c r="B13" s="23"/>
      <c r="C13" s="95"/>
      <c r="D13" s="92"/>
      <c r="E13" s="23"/>
      <c r="F13" s="24"/>
      <c r="G13" s="25"/>
      <c r="H13" s="15">
        <v>2500</v>
      </c>
      <c r="I13" s="15"/>
      <c r="J13" s="15"/>
      <c r="K13" s="15"/>
      <c r="L13" s="15"/>
      <c r="M13" s="14">
        <f>SUM(M15:M15)</f>
        <v>0</v>
      </c>
    </row>
    <row r="14" spans="1:13" ht="25.5">
      <c r="A14" s="98" t="s">
        <v>140</v>
      </c>
      <c r="B14" s="107" t="s">
        <v>120</v>
      </c>
      <c r="C14" s="103" t="s">
        <v>218</v>
      </c>
      <c r="D14" s="103" t="s">
        <v>121</v>
      </c>
      <c r="E14" s="107" t="s">
        <v>108</v>
      </c>
      <c r="F14" s="115">
        <f>F6*1000*6*0.2</f>
        <v>96</v>
      </c>
      <c r="G14" s="18"/>
      <c r="H14" s="19">
        <v>5877</v>
      </c>
      <c r="I14" s="19">
        <v>2500</v>
      </c>
      <c r="J14" s="19"/>
      <c r="K14" s="19">
        <v>5648</v>
      </c>
      <c r="L14" s="19"/>
      <c r="M14" s="18">
        <f>F14*G14</f>
        <v>0</v>
      </c>
    </row>
    <row r="15" spans="1:13" ht="25.5">
      <c r="A15" s="99" t="s">
        <v>141</v>
      </c>
      <c r="B15" s="110" t="s">
        <v>122</v>
      </c>
      <c r="C15" s="111" t="s">
        <v>123</v>
      </c>
      <c r="D15" s="103"/>
      <c r="E15" s="110" t="s">
        <v>108</v>
      </c>
      <c r="F15" s="445">
        <v>150</v>
      </c>
      <c r="G15" s="21"/>
      <c r="H15" s="19">
        <v>5879</v>
      </c>
      <c r="I15" s="19">
        <v>2500</v>
      </c>
      <c r="J15" s="19"/>
      <c r="K15" s="19">
        <v>4475</v>
      </c>
      <c r="L15" s="19" t="s">
        <v>150</v>
      </c>
      <c r="M15" s="18">
        <f>F15*G15</f>
        <v>0</v>
      </c>
    </row>
    <row r="16" spans="1:13" s="11" customFormat="1" ht="16.899999999999999" customHeight="1">
      <c r="A16" s="97" t="s">
        <v>151</v>
      </c>
      <c r="B16" s="12"/>
      <c r="C16" s="92"/>
      <c r="D16" s="92"/>
      <c r="E16" s="12"/>
      <c r="F16" s="121"/>
      <c r="G16" s="14"/>
      <c r="H16" s="15">
        <v>2501</v>
      </c>
      <c r="I16" s="15"/>
      <c r="J16" s="15"/>
      <c r="K16" s="15"/>
      <c r="L16" s="15"/>
      <c r="M16" s="14">
        <f>SUM(M17:M17)</f>
        <v>0</v>
      </c>
    </row>
    <row r="17" spans="1:16" ht="25.5">
      <c r="A17" s="98" t="s">
        <v>140</v>
      </c>
      <c r="B17" s="107" t="s">
        <v>124</v>
      </c>
      <c r="C17" s="89" t="s">
        <v>152</v>
      </c>
      <c r="D17" s="89"/>
      <c r="E17" s="107" t="s">
        <v>105</v>
      </c>
      <c r="F17" s="115">
        <f>F6*1000*5.2</f>
        <v>416</v>
      </c>
      <c r="G17" s="18"/>
      <c r="H17" s="19">
        <v>5880</v>
      </c>
      <c r="I17" s="19">
        <v>2501</v>
      </c>
      <c r="J17" s="19"/>
      <c r="K17" s="19">
        <v>5917</v>
      </c>
      <c r="L17" s="19"/>
      <c r="M17" s="18">
        <f>F17*G17</f>
        <v>0</v>
      </c>
    </row>
    <row r="18" spans="1:16">
      <c r="A18" s="98"/>
      <c r="B18" s="16"/>
      <c r="C18" s="89"/>
      <c r="D18" s="89"/>
      <c r="E18" s="16"/>
      <c r="F18" s="17"/>
      <c r="G18" s="18"/>
      <c r="H18" s="19"/>
      <c r="I18" s="19"/>
      <c r="J18" s="19"/>
      <c r="K18" s="19"/>
      <c r="L18" s="19"/>
      <c r="M18" s="18"/>
    </row>
    <row r="19" spans="1:16">
      <c r="P19" s="108"/>
    </row>
    <row r="20" spans="1:16">
      <c r="P20" s="108"/>
    </row>
    <row r="21" spans="1:16">
      <c r="P21" s="108"/>
    </row>
    <row r="22" spans="1:16">
      <c r="P22" s="108"/>
    </row>
  </sheetData>
  <pageMargins left="0.70866141732283472" right="0.70866141732283472" top="0.74803149606299213" bottom="0.74803149606299213" header="0.31496062992125984" footer="0.31496062992125984"/>
  <pageSetup paperSize="9" scale="62" orientation="portrait" r:id="rId1"/>
  <headerFooter>
    <oddHeader>&amp;CProjekt Dolenje in Gorenje Ponikve:
Kanalizacija, rekonstrukcija vodovoda in pločnik med naseljema</oddHead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52</vt:i4>
      </vt:variant>
      <vt:variant>
        <vt:lpstr>Imenovani obsegi</vt:lpstr>
      </vt:variant>
      <vt:variant>
        <vt:i4>74</vt:i4>
      </vt:variant>
    </vt:vector>
  </HeadingPairs>
  <TitlesOfParts>
    <vt:vector size="126" baseType="lpstr">
      <vt:lpstr>naslovnica </vt:lpstr>
      <vt:lpstr>Rekapitulacija-skupaj</vt:lpstr>
      <vt:lpstr>Pripravljalna dela-skupna</vt:lpstr>
      <vt:lpstr>Rekapitulacija-cesta LC425043</vt:lpstr>
      <vt:lpstr>Predračun-cesta LC425043</vt:lpstr>
      <vt:lpstr>Rekapitulacija-dovozna cesta</vt:lpstr>
      <vt:lpstr>Predračun-dovozna cesta</vt:lpstr>
      <vt:lpstr>Rekapitulacija-dovozna cesta 2</vt:lpstr>
      <vt:lpstr>predračun-dovozna cesta 2</vt:lpstr>
      <vt:lpstr>Rekapitulacija-G.Ponikve</vt:lpstr>
      <vt:lpstr>predračun-G.Ponikve</vt:lpstr>
      <vt:lpstr>Rekapitulacija-ulice D.Ponikve</vt:lpstr>
      <vt:lpstr>predračun-ulice D.Ponikve</vt:lpstr>
      <vt:lpstr>Rekapitulacija fek.kan</vt:lpstr>
      <vt:lpstr>K1.0</vt:lpstr>
      <vt:lpstr>K2.0</vt:lpstr>
      <vt:lpstr>T2.0</vt:lpstr>
      <vt:lpstr>T1.0</vt:lpstr>
      <vt:lpstr>K1.1</vt:lpstr>
      <vt:lpstr>K1.1.1</vt:lpstr>
      <vt:lpstr>K1.2</vt:lpstr>
      <vt:lpstr>K1.2.1</vt:lpstr>
      <vt:lpstr>K1.2.2</vt:lpstr>
      <vt:lpstr>K1.3</vt:lpstr>
      <vt:lpstr>K2.1</vt:lpstr>
      <vt:lpstr>K2.1.1</vt:lpstr>
      <vt:lpstr>K2.2</vt:lpstr>
      <vt:lpstr>K2.2.1</vt:lpstr>
      <vt:lpstr>rekapitulacija met kan</vt:lpstr>
      <vt:lpstr>M1.0</vt:lpstr>
      <vt:lpstr>M2.0</vt:lpstr>
      <vt:lpstr>M1.1</vt:lpstr>
      <vt:lpstr>M1.2</vt:lpstr>
      <vt:lpstr>M2.1</vt:lpstr>
      <vt:lpstr>M2.2</vt:lpstr>
      <vt:lpstr>M2.2.1</vt:lpstr>
      <vt:lpstr>vodovod rekapitulacija</vt:lpstr>
      <vt:lpstr>V1.0</vt:lpstr>
      <vt:lpstr>V1.1</vt:lpstr>
      <vt:lpstr>V1.1.1</vt:lpstr>
      <vt:lpstr>V1.2</vt:lpstr>
      <vt:lpstr>V1.3</vt:lpstr>
      <vt:lpstr>V1.5</vt:lpstr>
      <vt:lpstr>V1.5.1</vt:lpstr>
      <vt:lpstr>V1.5.1.1</vt:lpstr>
      <vt:lpstr>V1.5.2</vt:lpstr>
      <vt:lpstr>JR</vt:lpstr>
      <vt:lpstr>NN priključek črpališč</vt:lpstr>
      <vt:lpstr>Črpališče G. in D. Ponikve-elek</vt:lpstr>
      <vt:lpstr>ČRP G. Ponikve</vt:lpstr>
      <vt:lpstr>ČRP D. Ponikve</vt:lpstr>
      <vt:lpstr>Tuje storitve - skupno</vt:lpstr>
      <vt:lpstr>'Črpališče G. in D. Ponikve-elek'!bookmark73</vt:lpstr>
      <vt:lpstr>'Črpališče G. in D. Ponikve-elek'!bookmark74</vt:lpstr>
      <vt:lpstr>'Črpališče G. in D. Ponikve-elek'!bookmark75</vt:lpstr>
      <vt:lpstr>'Črpališče G. in D. Ponikve-elek'!bookmark76</vt:lpstr>
      <vt:lpstr>'Črpališče G. in D. Ponikve-elek'!bookmark77</vt:lpstr>
      <vt:lpstr>'Črpališče G. in D. Ponikve-elek'!bookmark78</vt:lpstr>
      <vt:lpstr>'Črpališče G. in D. Ponikve-elek'!bookmark79</vt:lpstr>
      <vt:lpstr>'Črpališče G. in D. Ponikve-elek'!bookmark81</vt:lpstr>
      <vt:lpstr>'Črpališče G. in D. Ponikve-elek'!bookmark82</vt:lpstr>
      <vt:lpstr>'Črpališče G. in D. Ponikve-elek'!bookmark83</vt:lpstr>
      <vt:lpstr>V1.0!Excel_BuiltIn_Print_Area_2_1</vt:lpstr>
      <vt:lpstr>V1.1!Excel_BuiltIn_Print_Area_2_1</vt:lpstr>
      <vt:lpstr>V1.1.1!Excel_BuiltIn_Print_Area_2_1</vt:lpstr>
      <vt:lpstr>V1.2!Excel_BuiltIn_Print_Area_2_1</vt:lpstr>
      <vt:lpstr>V1.3!Excel_BuiltIn_Print_Area_2_1</vt:lpstr>
      <vt:lpstr>V1.5!Excel_BuiltIn_Print_Area_2_1</vt:lpstr>
      <vt:lpstr>V1.5.1!Excel_BuiltIn_Print_Area_2_1</vt:lpstr>
      <vt:lpstr>V1.5.1.1!Excel_BuiltIn_Print_Area_2_1</vt:lpstr>
      <vt:lpstr>V1.5.2!Excel_BuiltIn_Print_Area_2_1</vt:lpstr>
      <vt:lpstr>'ČRP D. Ponikve'!Področje_tiskanja</vt:lpstr>
      <vt:lpstr>'ČRP G. Ponikve'!Področje_tiskanja</vt:lpstr>
      <vt:lpstr>JR!Področje_tiskanja</vt:lpstr>
      <vt:lpstr>K1.0!Področje_tiskanja</vt:lpstr>
      <vt:lpstr>K1.1!Področje_tiskanja</vt:lpstr>
      <vt:lpstr>K1.1.1!Področje_tiskanja</vt:lpstr>
      <vt:lpstr>K1.2!Področje_tiskanja</vt:lpstr>
      <vt:lpstr>K1.2.1!Področje_tiskanja</vt:lpstr>
      <vt:lpstr>K1.2.2!Področje_tiskanja</vt:lpstr>
      <vt:lpstr>K1.3!Področje_tiskanja</vt:lpstr>
      <vt:lpstr>K2.0!Področje_tiskanja</vt:lpstr>
      <vt:lpstr>K2.1!Področje_tiskanja</vt:lpstr>
      <vt:lpstr>K2.1.1!Področje_tiskanja</vt:lpstr>
      <vt:lpstr>K2.2!Področje_tiskanja</vt:lpstr>
      <vt:lpstr>K2.2.1!Področje_tiskanja</vt:lpstr>
      <vt:lpstr>M1.0!Področje_tiskanja</vt:lpstr>
      <vt:lpstr>M1.1!Področje_tiskanja</vt:lpstr>
      <vt:lpstr>M1.2!Področje_tiskanja</vt:lpstr>
      <vt:lpstr>M2.0!Področje_tiskanja</vt:lpstr>
      <vt:lpstr>M2.1!Področje_tiskanja</vt:lpstr>
      <vt:lpstr>M2.2!Področje_tiskanja</vt:lpstr>
      <vt:lpstr>M2.2.1!Področje_tiskanja</vt:lpstr>
      <vt:lpstr>'naslovnica '!Področje_tiskanja</vt:lpstr>
      <vt:lpstr>'NN priključek črpališč'!Področje_tiskanja</vt:lpstr>
      <vt:lpstr>'Predračun-dovozna cesta'!Področje_tiskanja</vt:lpstr>
      <vt:lpstr>'predračun-dovozna cesta 2'!Področje_tiskanja</vt:lpstr>
      <vt:lpstr>'predračun-G.Ponikve'!Področje_tiskanja</vt:lpstr>
      <vt:lpstr>'predračun-ulice D.Ponikve'!Področje_tiskanja</vt:lpstr>
      <vt:lpstr>'Pripravljalna dela-skupna'!Področje_tiskanja</vt:lpstr>
      <vt:lpstr>'rekapitulacija met kan'!Področje_tiskanja</vt:lpstr>
      <vt:lpstr>'Rekapitulacija-cesta LC425043'!Področje_tiskanja</vt:lpstr>
      <vt:lpstr>T1.0!Področje_tiskanja</vt:lpstr>
      <vt:lpstr>T2.0!Področje_tiskanja</vt:lpstr>
      <vt:lpstr>'Tuje storitve - skupno'!Področje_tiskanja</vt:lpstr>
      <vt:lpstr>V1.0!Področje_tiskanja</vt:lpstr>
      <vt:lpstr>V1.1!Področje_tiskanja</vt:lpstr>
      <vt:lpstr>V1.1.1!Področje_tiskanja</vt:lpstr>
      <vt:lpstr>V1.2!Področje_tiskanja</vt:lpstr>
      <vt:lpstr>V1.3!Področje_tiskanja</vt:lpstr>
      <vt:lpstr>V1.5!Področje_tiskanja</vt:lpstr>
      <vt:lpstr>V1.5.1!Področje_tiskanja</vt:lpstr>
      <vt:lpstr>V1.5.1.1!Področje_tiskanja</vt:lpstr>
      <vt:lpstr>V1.5.2!Področje_tiskanja</vt:lpstr>
      <vt:lpstr>'vodovod rekapitulacija'!Področje_tiskanja</vt:lpstr>
      <vt:lpstr>'Predračun-cesta LC425043'!Tiskanje_naslovov</vt:lpstr>
      <vt:lpstr>V1.0!Tiskanje_naslovov</vt:lpstr>
      <vt:lpstr>V1.1!Tiskanje_naslovov</vt:lpstr>
      <vt:lpstr>V1.1.1!Tiskanje_naslovov</vt:lpstr>
      <vt:lpstr>V1.2!Tiskanje_naslovov</vt:lpstr>
      <vt:lpstr>V1.3!Tiskanje_naslovov</vt:lpstr>
      <vt:lpstr>V1.5!Tiskanje_naslovov</vt:lpstr>
      <vt:lpstr>V1.5.1!Tiskanje_naslovov</vt:lpstr>
      <vt:lpstr>V1.5.1.1!Tiskanje_naslovov</vt:lpstr>
      <vt:lpstr>V1.5.2!Tiskanje_naslovov</vt:lpstr>
      <vt:lpstr>'vodovod rekapitulacija'!Tiskanje_naslovov</vt:lpstr>
    </vt:vector>
  </TitlesOfParts>
  <Company>pti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Bitenc Matija</cp:lastModifiedBy>
  <cp:lastPrinted>2020-07-24T12:44:38Z</cp:lastPrinted>
  <dcterms:created xsi:type="dcterms:W3CDTF">2004-11-23T09:42:44Z</dcterms:created>
  <dcterms:modified xsi:type="dcterms:W3CDTF">2022-01-25T12:11:48Z</dcterms:modified>
</cp:coreProperties>
</file>